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mc:AlternateContent xmlns:mc="http://schemas.openxmlformats.org/markup-compatibility/2006">
    <mc:Choice Requires="x15">
      <x15ac:absPath xmlns:x15ac="http://schemas.microsoft.com/office/spreadsheetml/2010/11/ac" url="\\docserve\docserve\free_space(2530020000)\14_地球温暖化対策条例\020_CASBEE京都\01_CASBEE京都改定\CASBEE京都改定H29\06_改定作業\300316KBI→市\評価ツール\"/>
    </mc:Choice>
  </mc:AlternateContent>
  <xr:revisionPtr revIDLastSave="0" documentId="13_ncr:1_{C96A306B-9E1A-4DDD-81A8-8B00AC64C387}" xr6:coauthVersionLast="45" xr6:coauthVersionMax="45" xr10:uidLastSave="{00000000-0000-0000-0000-000000000000}"/>
  <bookViews>
    <workbookView xWindow="-120" yWindow="-120" windowWidth="20730" windowHeight="11310" tabRatio="808" activeTab="12" xr2:uid="{00000000-000D-0000-FFFF-FFFF00000000}"/>
  </bookViews>
  <sheets>
    <sheet name="メイン" sheetId="2" r:id="rId1"/>
    <sheet name="結果" sheetId="4" r:id="rId2"/>
    <sheet name="独自ｼｽﾃﾑ" sheetId="21" r:id="rId3"/>
    <sheet name="スコア" sheetId="5" r:id="rId4"/>
    <sheet name="配慮" sheetId="7" r:id="rId5"/>
    <sheet name="係数" sheetId="3" r:id="rId6"/>
    <sheet name="採点Q1" sheetId="8" r:id="rId7"/>
    <sheet name="採点Q2" sheetId="9" r:id="rId8"/>
    <sheet name="採点Q3" sheetId="10" r:id="rId9"/>
    <sheet name="採点LR1" sheetId="11" r:id="rId10"/>
    <sheet name="計画書" sheetId="24" r:id="rId11"/>
    <sheet name="採点LR2" sheetId="13" r:id="rId12"/>
    <sheet name="採点LR3" sheetId="14" r:id="rId13"/>
    <sheet name="CO2計算" sheetId="6" r:id="rId14"/>
    <sheet name="高評価資料" sheetId="23" r:id="rId15"/>
    <sheet name="重み" sheetId="18" r:id="rId16"/>
    <sheet name="条件(標準)" sheetId="16" r:id="rId17"/>
    <sheet name="条件(個別)" sheetId="17" r:id="rId18"/>
    <sheet name="CO2データ" sheetId="15" r:id="rId19"/>
    <sheet name="クレジット" sheetId="19" r:id="rId20"/>
  </sheets>
  <definedNames>
    <definedName name="_xlnm._FilterDatabase" localSheetId="6" hidden="1">採点Q1!#REF!</definedName>
    <definedName name="_xlnm.Print_Area" localSheetId="18">CO2データ!$A$1:$R$317</definedName>
    <definedName name="_xlnm.Print_Area" localSheetId="13">CO2計算!$B$1:$Z$178</definedName>
    <definedName name="_xlnm.Print_Area" localSheetId="19">クレジット!$A$1:$S$37</definedName>
    <definedName name="_xlnm.Print_Area" localSheetId="3">スコア!$A$1:$V$195</definedName>
    <definedName name="_xlnm.Print_Area" localSheetId="0">メイン!$A$1:$G$72</definedName>
    <definedName name="_xlnm.Print_Area" localSheetId="5">係数!$A$1:$N$87</definedName>
    <definedName name="_xlnm.Print_Area" localSheetId="10">計画書!$A$1:$Q$129</definedName>
    <definedName name="_xlnm.Print_Area" localSheetId="1">結果!$A$1:$P$98</definedName>
    <definedName name="_xlnm.Print_Area" localSheetId="14">高評価資料!$B$1:$F$101</definedName>
    <definedName name="_xlnm.Print_Area" localSheetId="9">採点LR1!$C$1:$P$148</definedName>
    <definedName name="_xlnm.Print_Area" localSheetId="11">採点LR2!$C$1:$P$345</definedName>
    <definedName name="_xlnm.Print_Area" localSheetId="12">採点LR3!$D$1:$O$242</definedName>
    <definedName name="_xlnm.Print_Area" localSheetId="6">採点Q1!$D$1:$P$448</definedName>
    <definedName name="_xlnm.Print_Area" localSheetId="7">採点Q2!$C$1:$P$435</definedName>
    <definedName name="_xlnm.Print_Area" localSheetId="15">重み!$A$1:$CD$194</definedName>
    <definedName name="_xlnm.Print_Area" localSheetId="17">'条件(個別)'!$A$1:$F$90</definedName>
    <definedName name="_xlnm.Print_Area" localSheetId="2">独自ｼｽﾃﾑ!$A$1:$O$103</definedName>
    <definedName name="_xlnm.Print_Titles" localSheetId="14">高評価資料!$5:$5</definedName>
    <definedName name="_xlnm.Print_Titles" localSheetId="15">重み!$5:$6</definedName>
    <definedName name="Z_047384A4_E844_4BB4_B522_1CE13C4699E4_.wvu.Cols" localSheetId="18" hidden="1">CO2データ!$G:$H,CO2データ!$S:$IV</definedName>
    <definedName name="Z_047384A4_E844_4BB4_B522_1CE13C4699E4_.wvu.Cols" localSheetId="13" hidden="1">CO2計算!$Q:$IV</definedName>
    <definedName name="Z_047384A4_E844_4BB4_B522_1CE13C4699E4_.wvu.Cols" localSheetId="19" hidden="1">クレジット!$T:$IV</definedName>
    <definedName name="Z_047384A4_E844_4BB4_B522_1CE13C4699E4_.wvu.Cols" localSheetId="3" hidden="1">スコア!#REF!,スコア!$AA:$JB</definedName>
    <definedName name="Z_047384A4_E844_4BB4_B522_1CE13C4699E4_.wvu.Cols" localSheetId="0" hidden="1">メイン!$I:$IV</definedName>
    <definedName name="Z_047384A4_E844_4BB4_B522_1CE13C4699E4_.wvu.Cols" localSheetId="9" hidden="1">採点LR1!$Q:$IV</definedName>
    <definedName name="Z_047384A4_E844_4BB4_B522_1CE13C4699E4_.wvu.Cols" localSheetId="11" hidden="1">採点LR2!$Q:$IV</definedName>
    <definedName name="Z_047384A4_E844_4BB4_B522_1CE13C4699E4_.wvu.Cols" localSheetId="12" hidden="1">採点LR3!$Q:$IV</definedName>
    <definedName name="Z_047384A4_E844_4BB4_B522_1CE13C4699E4_.wvu.Cols" localSheetId="6" hidden="1">採点Q1!$Q:$IV</definedName>
    <definedName name="Z_047384A4_E844_4BB4_B522_1CE13C4699E4_.wvu.Cols" localSheetId="7" hidden="1">採点Q2!$Q:$IV</definedName>
    <definedName name="Z_047384A4_E844_4BB4_B522_1CE13C4699E4_.wvu.Cols" localSheetId="8" hidden="1">採点Q3!$Q:$IV</definedName>
    <definedName name="Z_047384A4_E844_4BB4_B522_1CE13C4699E4_.wvu.Cols" localSheetId="15" hidden="1">重み!$Q:$Q,重み!$AY:$AY,重み!$BP:$BP,重み!$CG:$IW</definedName>
    <definedName name="Z_047384A4_E844_4BB4_B522_1CE13C4699E4_.wvu.Cols" localSheetId="17" hidden="1">'条件(個別)'!$H:$IV</definedName>
    <definedName name="Z_047384A4_E844_4BB4_B522_1CE13C4699E4_.wvu.Cols" localSheetId="16" hidden="1">'条件(標準)'!$H:$IV</definedName>
    <definedName name="Z_047384A4_E844_4BB4_B522_1CE13C4699E4_.wvu.Cols" localSheetId="4" hidden="1">配慮!$G:$IV</definedName>
    <definedName name="Z_047384A4_E844_4BB4_B522_1CE13C4699E4_.wvu.PrintArea" localSheetId="18" hidden="1">CO2データ!$A$1:$R$317</definedName>
    <definedName name="Z_047384A4_E844_4BB4_B522_1CE13C4699E4_.wvu.PrintArea" localSheetId="13" hidden="1">CO2計算!$B$1:$Z$178</definedName>
    <definedName name="Z_047384A4_E844_4BB4_B522_1CE13C4699E4_.wvu.PrintArea" localSheetId="19" hidden="1">クレジット!$A$1:$S$37</definedName>
    <definedName name="Z_047384A4_E844_4BB4_B522_1CE13C4699E4_.wvu.PrintArea" localSheetId="3" hidden="1">スコア!$A$1:$W$195</definedName>
    <definedName name="Z_047384A4_E844_4BB4_B522_1CE13C4699E4_.wvu.PrintArea" localSheetId="0" hidden="1">メイン!$A$1:$G$70</definedName>
    <definedName name="Z_047384A4_E844_4BB4_B522_1CE13C4699E4_.wvu.PrintArea" localSheetId="1" hidden="1">結果!$A$1:$P$98</definedName>
    <definedName name="Z_047384A4_E844_4BB4_B522_1CE13C4699E4_.wvu.PrintArea" localSheetId="9" hidden="1">採点LR1!$C$1:$P$147</definedName>
    <definedName name="Z_047384A4_E844_4BB4_B522_1CE13C4699E4_.wvu.PrintArea" localSheetId="11" hidden="1">採点LR2!$C$1:$P$317</definedName>
    <definedName name="Z_047384A4_E844_4BB4_B522_1CE13C4699E4_.wvu.PrintArea" localSheetId="12" hidden="1">採点LR3!$C$1:$P$240</definedName>
    <definedName name="Z_047384A4_E844_4BB4_B522_1CE13C4699E4_.wvu.PrintArea" localSheetId="6" hidden="1">採点Q1!$A$1:$P$449</definedName>
    <definedName name="Z_047384A4_E844_4BB4_B522_1CE13C4699E4_.wvu.PrintArea" localSheetId="7" hidden="1">採点Q2!$C$1:$P$435</definedName>
    <definedName name="Z_047384A4_E844_4BB4_B522_1CE13C4699E4_.wvu.PrintArea" localSheetId="8" hidden="1">採点Q3!$C$1:$P$141</definedName>
    <definedName name="Z_047384A4_E844_4BB4_B522_1CE13C4699E4_.wvu.PrintArea" localSheetId="15" hidden="1">重み!$A$1:$CD$194</definedName>
    <definedName name="Z_047384A4_E844_4BB4_B522_1CE13C4699E4_.wvu.PrintTitles" localSheetId="15" hidden="1">重み!$5:$6</definedName>
    <definedName name="Z_047384A4_E844_4BB4_B522_1CE13C4699E4_.wvu.Rows" localSheetId="18" hidden="1">CO2データ!$319:$65582,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$228:$228,CO2データ!#REF!,CO2データ!#REF!,CO2データ!#REF!,CO2データ!$309:$309,CO2データ!$318:$318</definedName>
    <definedName name="Z_047384A4_E844_4BB4_B522_1CE13C4699E4_.wvu.Rows" localSheetId="13" hidden="1">CO2計算!$174:$65538,CO2計算!$26:$99,CO2計算!$138:$173</definedName>
    <definedName name="Z_047384A4_E844_4BB4_B522_1CE13C4699E4_.wvu.Rows" localSheetId="19" hidden="1">クレジット!$39:$65536,クレジット!$38:$38</definedName>
    <definedName name="Z_047384A4_E844_4BB4_B522_1CE13C4699E4_.wvu.Rows" localSheetId="3" hidden="1">スコア!$196:$65550,スコア!$33:$34,スコア!$77:$77,スコア!$90:$92,スコア!$99:$99,スコア!$120:$120,スコア!$125:$126,スコア!$130:$137</definedName>
    <definedName name="Z_047384A4_E844_4BB4_B522_1CE13C4699E4_.wvu.Rows" localSheetId="0" hidden="1">メイン!$108:$65536,メイン!$89:$107</definedName>
    <definedName name="Z_047384A4_E844_4BB4_B522_1CE13C4699E4_.wvu.Rows" localSheetId="1" hidden="1">結果!$216:$65537,結果!$18:$21,結果!$72:$93,結果!$99:$215</definedName>
    <definedName name="Z_047384A4_E844_4BB4_B522_1CE13C4699E4_.wvu.Rows" localSheetId="9" hidden="1">採点LR1!$309:$65535,採点LR1!#REF!,採点LR1!#REF!,採点LR1!$148:$307</definedName>
    <definedName name="Z_047384A4_E844_4BB4_B522_1CE13C4699E4_.wvu.Rows" localSheetId="11" hidden="1">採点LR2!$640:$65616,採点LR2!$276:$276,採点LR2!$318:$639</definedName>
    <definedName name="Z_047384A4_E844_4BB4_B522_1CE13C4699E4_.wvu.Rows" localSheetId="12" hidden="1">採点LR3!$241:$65537,採点LR3!#REF!,採点LR3!#REF!</definedName>
    <definedName name="Z_047384A4_E844_4BB4_B522_1CE13C4699E4_.wvu.Rows" localSheetId="6" hidden="1">採点Q1!$650:$65543,採点Q1!#REF!,採点Q1!$450:$649</definedName>
    <definedName name="Z_047384A4_E844_4BB4_B522_1CE13C4699E4_.wvu.Rows" localSheetId="7" hidden="1">採点Q2!$440:$65547,採点Q2!$174:$194,採点Q2!$234:$234,採点Q2!#REF!,採点Q2!$403:$427</definedName>
    <definedName name="Z_047384A4_E844_4BB4_B522_1CE13C4699E4_.wvu.Rows" localSheetId="8" hidden="1">採点Q3!$269:$65545,採点Q3!$121:$267</definedName>
    <definedName name="Z_047384A4_E844_4BB4_B522_1CE13C4699E4_.wvu.Rows" localSheetId="15" hidden="1">重み!$233:$65550,重み!$33:$34,重み!$99:$99,重み!$120:$120,重み!$137:$137,重み!$196:$232</definedName>
    <definedName name="Z_047384A4_E844_4BB4_B522_1CE13C4699E4_.wvu.Rows" localSheetId="17" hidden="1">'条件(個別)'!$73:$65536,'条件(個別)'!$37:$37</definedName>
    <definedName name="Z_047384A4_E844_4BB4_B522_1CE13C4699E4_.wvu.Rows" localSheetId="16" hidden="1">'条件(標準)'!$73:$65536,'条件(標準)'!$37:$37</definedName>
    <definedName name="Z_047384A4_E844_4BB4_B522_1CE13C4699E4_.wvu.Rows" localSheetId="4" hidden="1">配慮!$18:$65536,配慮!$13:$17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44" i="8" l="1"/>
  <c r="X194" i="5" l="1"/>
  <c r="X191" i="5"/>
  <c r="X189" i="5"/>
  <c r="X187" i="5"/>
  <c r="X186" i="5"/>
  <c r="X185" i="5"/>
  <c r="AI181" i="5"/>
  <c r="X179" i="5"/>
  <c r="X178" i="5"/>
  <c r="X175" i="5"/>
  <c r="X171" i="5"/>
  <c r="X170" i="5"/>
  <c r="X169" i="5"/>
  <c r="X162" i="5"/>
  <c r="X161" i="5"/>
  <c r="X160" i="5"/>
  <c r="X159" i="5"/>
  <c r="X156" i="5"/>
  <c r="X155" i="5"/>
  <c r="X154" i="5"/>
  <c r="X153" i="5"/>
  <c r="X150" i="5"/>
  <c r="X149" i="5"/>
  <c r="X147" i="5"/>
  <c r="X144" i="5"/>
  <c r="X143" i="5"/>
  <c r="X141" i="5"/>
  <c r="X140" i="5"/>
  <c r="AD137" i="5"/>
  <c r="AB137" i="5"/>
  <c r="R137" i="5" s="1"/>
  <c r="X134" i="5"/>
  <c r="X132" i="5"/>
  <c r="AD131" i="5"/>
  <c r="U131" i="5" s="1"/>
  <c r="AD130" i="5"/>
  <c r="AB121" i="5"/>
  <c r="R121" i="5" s="1"/>
  <c r="AI120" i="5"/>
  <c r="AD120" i="5"/>
  <c r="U120" i="5" s="1"/>
  <c r="AB120" i="5"/>
  <c r="R120" i="5" s="1"/>
  <c r="X111" i="5"/>
  <c r="X110" i="5"/>
  <c r="X109" i="5"/>
  <c r="X108" i="5"/>
  <c r="X107" i="5"/>
  <c r="X106" i="5"/>
  <c r="Y104" i="5"/>
  <c r="X104" i="5"/>
  <c r="Y103" i="5"/>
  <c r="X103" i="5"/>
  <c r="Y102" i="5"/>
  <c r="X102" i="5"/>
  <c r="AI99" i="5"/>
  <c r="AD99" i="5"/>
  <c r="U99" i="5" s="1"/>
  <c r="AB99" i="5"/>
  <c r="R99" i="5" s="1"/>
  <c r="X97" i="5"/>
  <c r="X92" i="5"/>
  <c r="X91" i="5"/>
  <c r="X90" i="5"/>
  <c r="X88" i="5"/>
  <c r="X87" i="5"/>
  <c r="X86" i="5"/>
  <c r="X85" i="5"/>
  <c r="X84" i="5"/>
  <c r="X83" i="5"/>
  <c r="X81" i="5"/>
  <c r="X80" i="5"/>
  <c r="X71" i="5"/>
  <c r="X67" i="5"/>
  <c r="Y66" i="5"/>
  <c r="X66" i="5"/>
  <c r="Y65" i="5"/>
  <c r="X65" i="5"/>
  <c r="X61" i="5"/>
  <c r="X60" i="5"/>
  <c r="Y58" i="5"/>
  <c r="X58" i="5"/>
  <c r="Y57" i="5"/>
  <c r="X57" i="5"/>
  <c r="Y56" i="5"/>
  <c r="X56" i="5"/>
  <c r="Y55" i="5"/>
  <c r="X55" i="5"/>
  <c r="Y53" i="5"/>
  <c r="X53" i="5"/>
  <c r="Y52" i="5"/>
  <c r="X52" i="5"/>
  <c r="Y51" i="5"/>
  <c r="X51" i="5"/>
  <c r="Y50" i="5"/>
  <c r="X50" i="5"/>
  <c r="Y47" i="5"/>
  <c r="X47" i="5"/>
  <c r="Y44" i="5"/>
  <c r="X44" i="5"/>
  <c r="X43" i="5"/>
  <c r="Y42" i="5"/>
  <c r="X42" i="5"/>
  <c r="Y41" i="5"/>
  <c r="X41" i="5"/>
  <c r="Y39" i="5"/>
  <c r="X39" i="5"/>
  <c r="Y38" i="5"/>
  <c r="Y37" i="5"/>
  <c r="X37" i="5"/>
  <c r="AU181" i="5"/>
  <c r="AU180" i="5"/>
  <c r="AU179" i="5"/>
  <c r="AU178" i="5"/>
  <c r="AU177" i="5"/>
  <c r="AU176" i="5"/>
  <c r="AU175" i="5"/>
  <c r="U172" i="5"/>
  <c r="T172" i="5"/>
  <c r="Q172" i="5"/>
  <c r="AU165" i="5"/>
  <c r="AU158" i="5"/>
  <c r="AU157" i="5"/>
  <c r="AU156" i="5"/>
  <c r="AU155" i="5"/>
  <c r="AU154" i="5"/>
  <c r="AU153" i="5"/>
  <c r="AU152" i="5"/>
  <c r="AU150" i="5"/>
  <c r="AU149" i="5"/>
  <c r="AU148" i="5"/>
  <c r="AU147" i="5"/>
  <c r="U145" i="5"/>
  <c r="T145" i="5"/>
  <c r="Q145" i="5"/>
  <c r="U137" i="5"/>
  <c r="T137" i="5"/>
  <c r="Q137" i="5"/>
  <c r="T136" i="5"/>
  <c r="Q136" i="5"/>
  <c r="T135" i="5"/>
  <c r="Q135" i="5"/>
  <c r="T134" i="5"/>
  <c r="Q134" i="5"/>
  <c r="T133" i="5"/>
  <c r="Q133" i="5"/>
  <c r="T132" i="5"/>
  <c r="Q132" i="5"/>
  <c r="T131" i="5"/>
  <c r="Q131" i="5"/>
  <c r="U130" i="5"/>
  <c r="T130" i="5"/>
  <c r="Q130" i="5"/>
  <c r="AU128" i="5"/>
  <c r="T128" i="5"/>
  <c r="Q128" i="5"/>
  <c r="AU127" i="5"/>
  <c r="T127" i="5"/>
  <c r="Q127" i="5"/>
  <c r="AU126" i="5"/>
  <c r="T126" i="5"/>
  <c r="Q126" i="5"/>
  <c r="AU125" i="5"/>
  <c r="T125" i="5"/>
  <c r="Q125" i="5"/>
  <c r="U122" i="5"/>
  <c r="T122" i="5"/>
  <c r="Q122" i="5"/>
  <c r="U121" i="5"/>
  <c r="T120" i="5"/>
  <c r="Q120" i="5"/>
  <c r="U112" i="5"/>
  <c r="T112" i="5"/>
  <c r="Q112" i="5"/>
  <c r="AU99" i="5"/>
  <c r="T99" i="5"/>
  <c r="Q99" i="5"/>
  <c r="U62" i="5"/>
  <c r="T62" i="5"/>
  <c r="Q62" i="5"/>
  <c r="T58" i="5"/>
  <c r="Q58" i="5"/>
  <c r="T53" i="5"/>
  <c r="Q53" i="5"/>
  <c r="T52" i="5"/>
  <c r="Q52" i="5"/>
  <c r="T46" i="5"/>
  <c r="Q46" i="5"/>
  <c r="T45" i="5"/>
  <c r="Q45" i="5"/>
  <c r="T41" i="5"/>
  <c r="Q41" i="5"/>
  <c r="X34" i="5" l="1"/>
  <c r="X33" i="5"/>
  <c r="Y31" i="5"/>
  <c r="X31" i="5"/>
  <c r="Y30" i="5"/>
  <c r="X30" i="5"/>
  <c r="X29" i="5"/>
  <c r="X28" i="5"/>
  <c r="Y27" i="5"/>
  <c r="Y26" i="5"/>
  <c r="X26" i="5"/>
  <c r="X25" i="5"/>
  <c r="Y24" i="5"/>
  <c r="X24" i="5"/>
  <c r="X23" i="5"/>
  <c r="Y22" i="5"/>
  <c r="X22" i="5"/>
  <c r="AU34" i="5" l="1"/>
  <c r="AU33" i="5"/>
  <c r="T29" i="5"/>
  <c r="Q29" i="5"/>
  <c r="T28" i="5"/>
  <c r="Q28" i="5"/>
  <c r="T27" i="5"/>
  <c r="Q27" i="5"/>
  <c r="T26" i="5"/>
  <c r="Q26" i="5"/>
  <c r="T23" i="5"/>
  <c r="Q23" i="5"/>
  <c r="Y19" i="5" l="1"/>
  <c r="X19" i="5"/>
  <c r="Y18" i="5"/>
  <c r="X18" i="5"/>
  <c r="Y17" i="5"/>
  <c r="X17" i="5"/>
  <c r="Y16" i="5"/>
  <c r="X16" i="5"/>
  <c r="Y15" i="5"/>
  <c r="X15" i="5"/>
  <c r="T13" i="5" l="1"/>
  <c r="Q13" i="5"/>
  <c r="L118" i="24" l="1"/>
  <c r="M117" i="24"/>
  <c r="S112" i="24"/>
  <c r="S111" i="24"/>
  <c r="S110" i="24"/>
  <c r="H110" i="24"/>
  <c r="S109" i="24"/>
  <c r="S108" i="24"/>
  <c r="S107" i="24"/>
  <c r="S106" i="24"/>
  <c r="S105" i="24"/>
  <c r="S104" i="24"/>
  <c r="S103" i="24"/>
  <c r="S102" i="24"/>
  <c r="S101" i="24"/>
  <c r="S100" i="24"/>
  <c r="S99" i="24"/>
  <c r="S98" i="24"/>
  <c r="S97" i="24"/>
  <c r="Z6" i="24"/>
  <c r="J6" i="24"/>
  <c r="L129" i="5" l="1"/>
  <c r="K129" i="5"/>
  <c r="E76" i="17" l="1"/>
  <c r="E75" i="17"/>
  <c r="J182" i="8"/>
  <c r="J181" i="8"/>
  <c r="I182" i="8"/>
  <c r="I181" i="8"/>
  <c r="G181" i="8"/>
  <c r="N2" i="24"/>
  <c r="F66" i="11" l="1"/>
  <c r="F62" i="11"/>
  <c r="H127" i="6" l="1"/>
  <c r="H126" i="6"/>
  <c r="H125" i="6"/>
  <c r="F235" i="15"/>
  <c r="E235" i="15"/>
  <c r="G235" i="15" s="1"/>
  <c r="D235" i="15"/>
  <c r="P128" i="24"/>
  <c r="H121" i="6" s="1"/>
  <c r="N128" i="24"/>
  <c r="I121" i="6" s="1"/>
  <c r="H127" i="24"/>
  <c r="H126" i="24" s="1"/>
  <c r="L126" i="24"/>
  <c r="K126" i="24"/>
  <c r="N117" i="24"/>
  <c r="G93" i="24"/>
  <c r="G92" i="24"/>
  <c r="N85" i="24"/>
  <c r="N84" i="24"/>
  <c r="N83" i="24"/>
  <c r="N82" i="24"/>
  <c r="J76" i="24"/>
  <c r="G76" i="24"/>
  <c r="G56" i="24"/>
  <c r="G75" i="24" s="1"/>
  <c r="J50" i="24"/>
  <c r="J75" i="24" s="1"/>
  <c r="G47" i="24"/>
  <c r="H46" i="24" s="1"/>
  <c r="J41" i="24"/>
  <c r="J74" i="24" s="1"/>
  <c r="J16" i="24"/>
  <c r="L16" i="11" s="1"/>
  <c r="J15" i="24"/>
  <c r="G16" i="11" s="1"/>
  <c r="AA11" i="24"/>
  <c r="AB11" i="24" s="1"/>
  <c r="W11" i="24"/>
  <c r="X11" i="24" s="1"/>
  <c r="AA10" i="24"/>
  <c r="AB10" i="24" s="1"/>
  <c r="W10" i="24"/>
  <c r="X10" i="24" s="1"/>
  <c r="AA9" i="24"/>
  <c r="AB9" i="24" s="1"/>
  <c r="W9" i="24"/>
  <c r="X9" i="24" s="1"/>
  <c r="AA8" i="24"/>
  <c r="AB8" i="24" s="1"/>
  <c r="W8" i="24"/>
  <c r="X8" i="24" s="1"/>
  <c r="M7" i="24"/>
  <c r="M6" i="24"/>
  <c r="Y5" i="24"/>
  <c r="AA5" i="24" s="1"/>
  <c r="U5" i="24"/>
  <c r="H54" i="24" l="1"/>
  <c r="H55" i="24"/>
  <c r="X5" i="24"/>
  <c r="AB5" i="24"/>
  <c r="H53" i="24"/>
  <c r="M56" i="24" s="1"/>
  <c r="V56" i="24" s="1"/>
  <c r="N56" i="24"/>
  <c r="V57" i="24" s="1"/>
  <c r="W5" i="24"/>
  <c r="H44" i="24"/>
  <c r="K56" i="24"/>
  <c r="V54" i="24" s="1"/>
  <c r="G74" i="24"/>
  <c r="H45" i="24"/>
  <c r="L56" i="24"/>
  <c r="V55" i="24" s="1"/>
  <c r="W54" i="24" s="1"/>
  <c r="X54" i="24" s="1"/>
  <c r="H56" i="24"/>
  <c r="J56" i="24" l="1"/>
  <c r="V53" i="24" s="1"/>
  <c r="W53" i="24" s="1"/>
  <c r="X53" i="24" s="1"/>
  <c r="K47" i="24"/>
  <c r="V45" i="24" s="1"/>
  <c r="L47" i="24"/>
  <c r="V46" i="24" s="1"/>
  <c r="N47" i="24"/>
  <c r="V48" i="24" s="1"/>
  <c r="J47" i="24"/>
  <c r="V44" i="24" s="1"/>
  <c r="M47" i="24"/>
  <c r="V47" i="24" s="1"/>
  <c r="H47" i="24"/>
  <c r="G77" i="24"/>
  <c r="H74" i="24" s="1"/>
  <c r="W56" i="24"/>
  <c r="X56" i="24" s="1"/>
  <c r="U51" i="24"/>
  <c r="W55" i="24"/>
  <c r="X55" i="24" s="1"/>
  <c r="W45" i="24" l="1"/>
  <c r="X45" i="24" s="1"/>
  <c r="W44" i="24"/>
  <c r="X44" i="24" s="1"/>
  <c r="H77" i="24"/>
  <c r="J77" i="24"/>
  <c r="H37" i="24" s="1"/>
  <c r="F47" i="11" s="1"/>
  <c r="X129" i="5" s="1"/>
  <c r="H76" i="24"/>
  <c r="H75" i="24"/>
  <c r="X51" i="24"/>
  <c r="W51" i="24"/>
  <c r="W46" i="24"/>
  <c r="X46" i="24" s="1"/>
  <c r="U42" i="24"/>
  <c r="W47" i="24"/>
  <c r="X47" i="24" s="1"/>
  <c r="H242" i="13"/>
  <c r="F227" i="13" s="1"/>
  <c r="X165" i="5" s="1"/>
  <c r="G223" i="13"/>
  <c r="F205" i="13" s="1"/>
  <c r="X163" i="5" s="1"/>
  <c r="L220" i="13"/>
  <c r="K205" i="13" s="1"/>
  <c r="X164" i="5" s="1"/>
  <c r="K201" i="13"/>
  <c r="F201" i="13"/>
  <c r="K200" i="13"/>
  <c r="F200" i="13"/>
  <c r="K199" i="13"/>
  <c r="F199" i="13"/>
  <c r="K198" i="13"/>
  <c r="F198" i="13"/>
  <c r="K197" i="13"/>
  <c r="F197" i="13"/>
  <c r="K192" i="13"/>
  <c r="F192" i="13"/>
  <c r="K191" i="13"/>
  <c r="F191" i="13"/>
  <c r="K190" i="13"/>
  <c r="F190" i="13"/>
  <c r="K189" i="13"/>
  <c r="F189" i="13"/>
  <c r="K188" i="13"/>
  <c r="F188" i="13"/>
  <c r="X42" i="24" l="1"/>
  <c r="W42" i="24"/>
  <c r="F229" i="13"/>
  <c r="F232" i="13"/>
  <c r="F228" i="13"/>
  <c r="F231" i="13"/>
  <c r="F230" i="13"/>
  <c r="F210" i="13"/>
  <c r="F208" i="13"/>
  <c r="F206" i="13"/>
  <c r="F209" i="13"/>
  <c r="F207" i="13"/>
  <c r="K207" i="13"/>
  <c r="K209" i="13"/>
  <c r="K206" i="13"/>
  <c r="K208" i="13"/>
  <c r="K210" i="13"/>
  <c r="G179" i="13"/>
  <c r="G28" i="11" l="1"/>
  <c r="M118" i="24" s="1"/>
  <c r="N118" i="24" s="1"/>
  <c r="L19" i="11" l="1"/>
  <c r="L22" i="11" l="1"/>
  <c r="L20" i="11"/>
  <c r="L21" i="11"/>
  <c r="L18" i="11"/>
  <c r="H30" i="10" l="1"/>
  <c r="G32" i="10" l="1"/>
  <c r="G342" i="9" l="1"/>
  <c r="F327" i="9" s="1"/>
  <c r="X98" i="5" s="1"/>
  <c r="K314" i="9" l="1"/>
  <c r="K307" i="9" s="1"/>
  <c r="G314" i="9"/>
  <c r="G307" i="9" s="1"/>
  <c r="G272" i="9" l="1"/>
  <c r="K267" i="9" s="1"/>
  <c r="G267" i="9" l="1"/>
  <c r="I267" i="9"/>
  <c r="G194" i="9"/>
  <c r="G145" i="9" l="1"/>
  <c r="G100" i="9" l="1"/>
  <c r="L74" i="9" l="1"/>
  <c r="K69" i="9" s="1"/>
  <c r="G74" i="9"/>
  <c r="F69" i="9" s="1"/>
  <c r="F121" i="6" l="1"/>
  <c r="F120" i="6"/>
  <c r="R25" i="6" l="1"/>
  <c r="R24" i="6"/>
  <c r="S23" i="6"/>
  <c r="R23" i="6"/>
  <c r="S22" i="6"/>
  <c r="R22" i="6"/>
  <c r="U21" i="6"/>
  <c r="T21" i="6"/>
  <c r="S21" i="6"/>
  <c r="R21" i="6"/>
  <c r="S20" i="6"/>
  <c r="R20" i="6"/>
  <c r="S19" i="6"/>
  <c r="R19" i="6"/>
  <c r="R18" i="6"/>
  <c r="S17" i="6"/>
  <c r="R17" i="6"/>
  <c r="S16" i="6"/>
  <c r="R16" i="6"/>
  <c r="R15" i="6"/>
  <c r="S14" i="6"/>
  <c r="R14" i="6"/>
  <c r="S13" i="6"/>
  <c r="R13" i="6"/>
  <c r="S12" i="6"/>
  <c r="R12" i="6"/>
  <c r="S11" i="6"/>
  <c r="R11" i="6"/>
  <c r="R10" i="6"/>
  <c r="S9" i="6"/>
  <c r="R9" i="6"/>
  <c r="R8" i="6"/>
  <c r="CA183" i="18" l="1"/>
  <c r="BZ183" i="18"/>
  <c r="BY183" i="18"/>
  <c r="BX183" i="18"/>
  <c r="BW183" i="18"/>
  <c r="BV183" i="18"/>
  <c r="BU183" i="18"/>
  <c r="BT183" i="18"/>
  <c r="BS183" i="18"/>
  <c r="BR183" i="18"/>
  <c r="CA174" i="18"/>
  <c r="BZ174" i="18"/>
  <c r="BY174" i="18"/>
  <c r="BX174" i="18"/>
  <c r="BW174" i="18"/>
  <c r="BV174" i="18"/>
  <c r="BU174" i="18"/>
  <c r="BT174" i="18"/>
  <c r="BS174" i="18"/>
  <c r="BR174" i="18"/>
  <c r="CA173" i="18"/>
  <c r="BZ173" i="18"/>
  <c r="BY173" i="18"/>
  <c r="BX173" i="18"/>
  <c r="BW173" i="18"/>
  <c r="BV173" i="18"/>
  <c r="BU173" i="18"/>
  <c r="BT173" i="18"/>
  <c r="BS173" i="18"/>
  <c r="BR173" i="18"/>
  <c r="CD57" i="18"/>
  <c r="CC57" i="18"/>
  <c r="CB57" i="18"/>
  <c r="CA57" i="18"/>
  <c r="BZ57" i="18"/>
  <c r="BY57" i="18"/>
  <c r="BW57" i="18"/>
  <c r="BV57" i="18"/>
  <c r="BU57" i="18"/>
  <c r="BT57" i="18"/>
  <c r="BS57" i="18"/>
  <c r="BR57" i="18"/>
  <c r="CD56" i="18"/>
  <c r="CC56" i="18"/>
  <c r="CB56" i="18"/>
  <c r="CA56" i="18"/>
  <c r="BZ56" i="18"/>
  <c r="BY56" i="18"/>
  <c r="BS56" i="18"/>
  <c r="BR56" i="18"/>
  <c r="CD55" i="18"/>
  <c r="CC55" i="18"/>
  <c r="CB55" i="18"/>
  <c r="CA55" i="18"/>
  <c r="BZ55" i="18"/>
  <c r="BY55" i="18"/>
  <c r="BW55" i="18"/>
  <c r="BV55" i="18"/>
  <c r="BU55" i="18"/>
  <c r="BT55" i="18"/>
  <c r="BS55" i="18"/>
  <c r="BR55" i="18"/>
  <c r="BZ25" i="18"/>
  <c r="BY25" i="18"/>
  <c r="BW25" i="18"/>
  <c r="BV25" i="18"/>
  <c r="BU25" i="18"/>
  <c r="BT25" i="18"/>
  <c r="BR25" i="18"/>
  <c r="CD24" i="18"/>
  <c r="CC24" i="18"/>
  <c r="CB24" i="18"/>
  <c r="CA24" i="18"/>
  <c r="BZ24" i="18"/>
  <c r="BY24" i="18"/>
  <c r="BX24" i="18"/>
  <c r="BW24" i="18"/>
  <c r="BV24" i="18"/>
  <c r="BU24" i="18"/>
  <c r="BT24" i="18"/>
  <c r="BS24" i="18"/>
  <c r="BR24" i="18"/>
  <c r="CD22" i="18"/>
  <c r="CC22" i="18"/>
  <c r="CB22" i="18"/>
  <c r="CA22" i="18"/>
  <c r="BZ22" i="18"/>
  <c r="BY22" i="18"/>
  <c r="BX22" i="18"/>
  <c r="BW22" i="18"/>
  <c r="BV22" i="18"/>
  <c r="BU22" i="18"/>
  <c r="BT22" i="18"/>
  <c r="BS22" i="18"/>
  <c r="BR22" i="18"/>
  <c r="CV194" i="18" l="1"/>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DA190"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S183" i="18"/>
  <c r="CR183" i="18"/>
  <c r="CQ183" i="18"/>
  <c r="CP183" i="18"/>
  <c r="CO183" i="18"/>
  <c r="CN183" i="18"/>
  <c r="CM183" i="18"/>
  <c r="CL183" i="18"/>
  <c r="CK183" i="18"/>
  <c r="CJ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S174" i="18"/>
  <c r="CR174" i="18"/>
  <c r="CQ174" i="18"/>
  <c r="CP174" i="18"/>
  <c r="CO174" i="18"/>
  <c r="CN174" i="18"/>
  <c r="CM174" i="18"/>
  <c r="CL174" i="18"/>
  <c r="CK174" i="18"/>
  <c r="CJ174" i="18"/>
  <c r="CV173" i="18"/>
  <c r="CU173" i="18"/>
  <c r="CT173" i="18"/>
  <c r="CS173" i="18"/>
  <c r="CR173" i="18"/>
  <c r="CQ173" i="18"/>
  <c r="CP173" i="18"/>
  <c r="CO173" i="18"/>
  <c r="CN173" i="18"/>
  <c r="CM173" i="18"/>
  <c r="CL173" i="18"/>
  <c r="CK173" i="18"/>
  <c r="CJ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DA159" i="18"/>
  <c r="CV159" i="18"/>
  <c r="CU159" i="18"/>
  <c r="CT159" i="18"/>
  <c r="DA158" i="18"/>
  <c r="CV158" i="18"/>
  <c r="CU158" i="18"/>
  <c r="CT158" i="18"/>
  <c r="CV157" i="18"/>
  <c r="CU157" i="18"/>
  <c r="CT157" i="18"/>
  <c r="CV156" i="18"/>
  <c r="CU156" i="18"/>
  <c r="CT156" i="18"/>
  <c r="DA155" i="18"/>
  <c r="CV155" i="18"/>
  <c r="CU155" i="18"/>
  <c r="CT155" i="18"/>
  <c r="CV154" i="18"/>
  <c r="CU154" i="18"/>
  <c r="CT154" i="18"/>
  <c r="CV153" i="18"/>
  <c r="CU153" i="18"/>
  <c r="CT153" i="18"/>
  <c r="CV152" i="18"/>
  <c r="CU152" i="18"/>
  <c r="CT152" i="18"/>
  <c r="CV151" i="18"/>
  <c r="CU151" i="18"/>
  <c r="CT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DA148" i="18"/>
  <c r="CV148" i="18"/>
  <c r="CU148" i="18"/>
  <c r="CT148" i="18"/>
  <c r="CS148" i="18"/>
  <c r="CR148" i="18"/>
  <c r="CQ148" i="18"/>
  <c r="CP148" i="18"/>
  <c r="CO148" i="18"/>
  <c r="CN148" i="18"/>
  <c r="CM148" i="18"/>
  <c r="CL148" i="18"/>
  <c r="CK148" i="18"/>
  <c r="CJ148" i="18"/>
  <c r="DA147" i="18"/>
  <c r="CV147" i="18"/>
  <c r="CU147" i="18"/>
  <c r="CT147" i="18"/>
  <c r="CS147" i="18"/>
  <c r="CR147" i="18"/>
  <c r="CQ147" i="18"/>
  <c r="CP147" i="18"/>
  <c r="CO147" i="18"/>
  <c r="CN147" i="18"/>
  <c r="CM147" i="18"/>
  <c r="CL147" i="18"/>
  <c r="CK147" i="18"/>
  <c r="CJ147" i="18"/>
  <c r="CV146" i="18"/>
  <c r="CU146" i="18"/>
  <c r="CT146" i="18"/>
  <c r="CV145" i="18"/>
  <c r="CU145" i="18"/>
  <c r="CT145" i="18"/>
  <c r="DA144" i="18"/>
  <c r="CV144" i="18"/>
  <c r="CU144" i="18"/>
  <c r="CT144" i="18"/>
  <c r="CS144" i="18"/>
  <c r="CR144" i="18"/>
  <c r="CQ144" i="18"/>
  <c r="CP144" i="18"/>
  <c r="CO144" i="18"/>
  <c r="CN144" i="18"/>
  <c r="CM144" i="18"/>
  <c r="CL144" i="18"/>
  <c r="CK144" i="18"/>
  <c r="CJ144" i="18"/>
  <c r="DA143" i="18"/>
  <c r="CV143" i="18"/>
  <c r="CU143" i="18"/>
  <c r="CT143" i="18"/>
  <c r="CS143" i="18"/>
  <c r="CR143" i="18"/>
  <c r="CQ143" i="18"/>
  <c r="CP143" i="18"/>
  <c r="CO143" i="18"/>
  <c r="CN143" i="18"/>
  <c r="CM143" i="18"/>
  <c r="CL143" i="18"/>
  <c r="CK143" i="18"/>
  <c r="CJ143" i="18"/>
  <c r="DA142" i="18"/>
  <c r="CV142" i="18"/>
  <c r="CU142" i="18"/>
  <c r="CT142" i="18"/>
  <c r="CS142" i="18"/>
  <c r="CR142" i="18"/>
  <c r="CQ142" i="18"/>
  <c r="CP142" i="18"/>
  <c r="CO142" i="18"/>
  <c r="CN142" i="18"/>
  <c r="CM142" i="18"/>
  <c r="CL142" i="18"/>
  <c r="CK142" i="18"/>
  <c r="CJ142"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DA138" i="18"/>
  <c r="CV138" i="18"/>
  <c r="CU138" i="18"/>
  <c r="CT138" i="18"/>
  <c r="CS138" i="18"/>
  <c r="CR138" i="18"/>
  <c r="CQ138" i="18"/>
  <c r="CP138" i="18"/>
  <c r="CO138" i="18"/>
  <c r="CN138" i="18"/>
  <c r="CM138" i="18"/>
  <c r="CL138" i="18"/>
  <c r="CK138" i="18"/>
  <c r="CJ138" i="18"/>
  <c r="DA137" i="18"/>
  <c r="CV137" i="18"/>
  <c r="CU137" i="18"/>
  <c r="CT137" i="18"/>
  <c r="CS137" i="18"/>
  <c r="CR137" i="18"/>
  <c r="CQ137" i="18"/>
  <c r="CP137" i="18"/>
  <c r="CO137" i="18"/>
  <c r="CN137" i="18"/>
  <c r="CM137" i="18"/>
  <c r="CL137" i="18"/>
  <c r="CK137" i="18"/>
  <c r="CJ137" i="18"/>
  <c r="DA136" i="18"/>
  <c r="CV136" i="18"/>
  <c r="CU136" i="18"/>
  <c r="CT136" i="18"/>
  <c r="CS136" i="18"/>
  <c r="CR136" i="18"/>
  <c r="CQ136" i="18"/>
  <c r="CP136" i="18"/>
  <c r="CO136" i="18"/>
  <c r="CN136" i="18"/>
  <c r="CM136" i="18"/>
  <c r="CL136" i="18"/>
  <c r="CK136" i="18"/>
  <c r="CJ136" i="18"/>
  <c r="DA135" i="18"/>
  <c r="CV135" i="18"/>
  <c r="CU135" i="18"/>
  <c r="CT135" i="18"/>
  <c r="CS135" i="18"/>
  <c r="CR135" i="18"/>
  <c r="CQ135" i="18"/>
  <c r="CP135" i="18"/>
  <c r="CO135" i="18"/>
  <c r="CN135" i="18"/>
  <c r="CM135" i="18"/>
  <c r="CL135" i="18"/>
  <c r="CK135" i="18"/>
  <c r="CJ135" i="18"/>
  <c r="DA134" i="18"/>
  <c r="CV134" i="18"/>
  <c r="CU134" i="18"/>
  <c r="CT134" i="18"/>
  <c r="CS134" i="18"/>
  <c r="CR134" i="18"/>
  <c r="CQ134" i="18"/>
  <c r="CP134" i="18"/>
  <c r="CO134" i="18"/>
  <c r="CN134" i="18"/>
  <c r="CM134" i="18"/>
  <c r="CL134" i="18"/>
  <c r="CK134" i="18"/>
  <c r="CJ134" i="18"/>
  <c r="DA133" i="18"/>
  <c r="CV133" i="18"/>
  <c r="CU133" i="18"/>
  <c r="CT133" i="18"/>
  <c r="CS133" i="18"/>
  <c r="CR133" i="18"/>
  <c r="CQ133" i="18"/>
  <c r="CP133" i="18"/>
  <c r="CO133" i="18"/>
  <c r="CN133" i="18"/>
  <c r="CM133" i="18"/>
  <c r="CL133" i="18"/>
  <c r="CK133" i="18"/>
  <c r="CJ133" i="18"/>
  <c r="DA132" i="18"/>
  <c r="CV132" i="18"/>
  <c r="CU132" i="18"/>
  <c r="CT132" i="18"/>
  <c r="CS132" i="18"/>
  <c r="CR132" i="18"/>
  <c r="CQ132" i="18"/>
  <c r="CP132" i="18"/>
  <c r="CO132" i="18"/>
  <c r="CN132" i="18"/>
  <c r="CM132" i="18"/>
  <c r="CL132" i="18"/>
  <c r="CK132" i="18"/>
  <c r="CJ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DA121" i="18"/>
  <c r="CV121" i="18"/>
  <c r="CU121" i="18"/>
  <c r="CT121" i="18"/>
  <c r="CS121" i="18"/>
  <c r="CR121" i="18"/>
  <c r="CQ121" i="18"/>
  <c r="CP121" i="18"/>
  <c r="CO121" i="18"/>
  <c r="CN121" i="18"/>
  <c r="CM121" i="18"/>
  <c r="CL121" i="18"/>
  <c r="CK121" i="18"/>
  <c r="CJ121" i="18"/>
  <c r="DA120" i="18"/>
  <c r="CV120" i="18"/>
  <c r="CU120" i="18"/>
  <c r="CT120" i="18"/>
  <c r="CS120" i="18"/>
  <c r="CR120" i="18"/>
  <c r="CQ120" i="18"/>
  <c r="CP120" i="18"/>
  <c r="CO120" i="18"/>
  <c r="CN120" i="18"/>
  <c r="CM120" i="18"/>
  <c r="CL120" i="18"/>
  <c r="CK120" i="18"/>
  <c r="CJ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DA111" i="18"/>
  <c r="DA110" i="18"/>
  <c r="DA109" i="18"/>
  <c r="DA108" i="18"/>
  <c r="DA105" i="18"/>
  <c r="DA104" i="18"/>
  <c r="DA101" i="18"/>
  <c r="CV100" i="18"/>
  <c r="CU100" i="18"/>
  <c r="CT100" i="18"/>
  <c r="DA99" i="18"/>
  <c r="CV99" i="18"/>
  <c r="CU99" i="18"/>
  <c r="CT99" i="18"/>
  <c r="CS99" i="18"/>
  <c r="CR99" i="18"/>
  <c r="CQ99" i="18"/>
  <c r="CP99" i="18"/>
  <c r="CO99" i="18"/>
  <c r="CN99" i="18"/>
  <c r="CM99" i="18"/>
  <c r="CL99" i="18"/>
  <c r="CK99" i="18"/>
  <c r="CJ99" i="18"/>
  <c r="CV98" i="18"/>
  <c r="CU98" i="18"/>
  <c r="CT98" i="18"/>
  <c r="CV97" i="18"/>
  <c r="CU97" i="18"/>
  <c r="CT97" i="18"/>
  <c r="CV96" i="18"/>
  <c r="CU96" i="18"/>
  <c r="CT96" i="18"/>
  <c r="CV95" i="18"/>
  <c r="CU95" i="18"/>
  <c r="CT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DA81" i="18"/>
  <c r="CV81" i="18"/>
  <c r="CU81" i="18"/>
  <c r="CT81" i="18"/>
  <c r="DA80" i="18"/>
  <c r="CV80" i="18"/>
  <c r="CU80" i="18"/>
  <c r="CT80" i="18"/>
  <c r="CV79" i="18"/>
  <c r="CU79" i="18"/>
  <c r="CT79" i="18"/>
  <c r="CV78" i="18"/>
  <c r="CU78" i="18"/>
  <c r="CT78" i="18"/>
  <c r="DA77"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DA65" i="18"/>
  <c r="CV65" i="18"/>
  <c r="CU65" i="18"/>
  <c r="CT65" i="18"/>
  <c r="CS65" i="18"/>
  <c r="CR65" i="18"/>
  <c r="CQ65" i="18"/>
  <c r="CP65" i="18"/>
  <c r="CO65" i="18"/>
  <c r="CN65" i="18"/>
  <c r="CM65" i="18"/>
  <c r="CL65" i="18"/>
  <c r="CK65" i="18"/>
  <c r="CJ65" i="18"/>
  <c r="DA64" i="18"/>
  <c r="CV64" i="18"/>
  <c r="CU64" i="18"/>
  <c r="CT64" i="18"/>
  <c r="CS64" i="18"/>
  <c r="CR64" i="18"/>
  <c r="CQ64" i="18"/>
  <c r="CP64" i="18"/>
  <c r="CO64" i="18"/>
  <c r="CN64" i="18"/>
  <c r="CM64" i="18"/>
  <c r="CL64" i="18"/>
  <c r="CK64" i="18"/>
  <c r="CJ64" i="18"/>
  <c r="CV63" i="18"/>
  <c r="CU63" i="18"/>
  <c r="CT63" i="18"/>
  <c r="CV62" i="18"/>
  <c r="CU62" i="18"/>
  <c r="CT62" i="18"/>
  <c r="DA61" i="18"/>
  <c r="CV61" i="18"/>
  <c r="CU61" i="18"/>
  <c r="CT61" i="18"/>
  <c r="CS61" i="18"/>
  <c r="CR61" i="18"/>
  <c r="CQ61" i="18"/>
  <c r="CP61" i="18"/>
  <c r="CO61" i="18"/>
  <c r="CN61" i="18"/>
  <c r="CM61" i="18"/>
  <c r="CL61" i="18"/>
  <c r="CK61" i="18"/>
  <c r="CJ61" i="18"/>
  <c r="DA60" i="18"/>
  <c r="CV60" i="18"/>
  <c r="CU60" i="18"/>
  <c r="CT60" i="18"/>
  <c r="CS60" i="18"/>
  <c r="CR60" i="18"/>
  <c r="CQ60" i="18"/>
  <c r="CP60" i="18"/>
  <c r="CO60" i="18"/>
  <c r="CN60" i="18"/>
  <c r="CM60" i="18"/>
  <c r="CL60" i="18"/>
  <c r="CK60" i="18"/>
  <c r="CJ60" i="18"/>
  <c r="DA59" i="18"/>
  <c r="CV59" i="18"/>
  <c r="CU59" i="18"/>
  <c r="CT59" i="18"/>
  <c r="CS59" i="18"/>
  <c r="CR59" i="18"/>
  <c r="CQ59" i="18"/>
  <c r="CP59" i="18"/>
  <c r="CO59" i="18"/>
  <c r="CN59" i="18"/>
  <c r="CM59" i="18"/>
  <c r="CL59" i="18"/>
  <c r="CK59" i="18"/>
  <c r="CJ59" i="18"/>
  <c r="DA57" i="18"/>
  <c r="CV57" i="18"/>
  <c r="CU57" i="18"/>
  <c r="CT57" i="18"/>
  <c r="CS57" i="18"/>
  <c r="CR57" i="18"/>
  <c r="CQ57" i="18"/>
  <c r="CP57" i="18"/>
  <c r="CO57" i="18"/>
  <c r="CN57" i="18"/>
  <c r="CM57" i="18"/>
  <c r="CL57" i="18"/>
  <c r="CK57" i="18"/>
  <c r="CJ57" i="18"/>
  <c r="DA56" i="18"/>
  <c r="CV56" i="18"/>
  <c r="CU56" i="18"/>
  <c r="CT56" i="18"/>
  <c r="CS56" i="18"/>
  <c r="CR56" i="18"/>
  <c r="CQ56" i="18"/>
  <c r="CP56" i="18"/>
  <c r="CO56" i="18"/>
  <c r="CN56" i="18"/>
  <c r="CM56" i="18"/>
  <c r="CL56" i="18"/>
  <c r="CK56" i="18"/>
  <c r="CJ56" i="18"/>
  <c r="DA55" i="18"/>
  <c r="CV55" i="18"/>
  <c r="CU55" i="18"/>
  <c r="CT55" i="18"/>
  <c r="CS55" i="18"/>
  <c r="CR55" i="18"/>
  <c r="CQ55" i="18"/>
  <c r="CP55" i="18"/>
  <c r="CO55" i="18"/>
  <c r="CN55" i="18"/>
  <c r="CM55" i="18"/>
  <c r="CL55" i="18"/>
  <c r="CK55" i="18"/>
  <c r="CJ55" i="18"/>
  <c r="DA54" i="18"/>
  <c r="CV54" i="18"/>
  <c r="CU54" i="18"/>
  <c r="CT54" i="18"/>
  <c r="CS54" i="18"/>
  <c r="CR54" i="18"/>
  <c r="CQ54" i="18"/>
  <c r="CP54" i="18"/>
  <c r="CO54" i="18"/>
  <c r="CN54" i="18"/>
  <c r="CM54" i="18"/>
  <c r="CL54" i="18"/>
  <c r="CK54" i="18"/>
  <c r="CJ54" i="18"/>
  <c r="DA53" i="18"/>
  <c r="CV53" i="18"/>
  <c r="CU53" i="18"/>
  <c r="CT53" i="18"/>
  <c r="CS53" i="18"/>
  <c r="CR53" i="18"/>
  <c r="CQ53" i="18"/>
  <c r="CP53" i="18"/>
  <c r="CO53" i="18"/>
  <c r="CN53" i="18"/>
  <c r="CM53" i="18"/>
  <c r="CL53" i="18"/>
  <c r="CK53" i="18"/>
  <c r="CJ53" i="18"/>
  <c r="DA52" i="18"/>
  <c r="CV52" i="18"/>
  <c r="CU52" i="18"/>
  <c r="CT52" i="18"/>
  <c r="CS52" i="18"/>
  <c r="CR52" i="18"/>
  <c r="CQ52" i="18"/>
  <c r="CP52" i="18"/>
  <c r="CO52" i="18"/>
  <c r="CN52" i="18"/>
  <c r="CM52" i="18"/>
  <c r="CL52" i="18"/>
  <c r="CK52" i="18"/>
  <c r="CJ52" i="18"/>
  <c r="DA50" i="18"/>
  <c r="CV50" i="18"/>
  <c r="CU50" i="18"/>
  <c r="CT50" i="18"/>
  <c r="CS50" i="18"/>
  <c r="CR50" i="18"/>
  <c r="CQ50" i="18"/>
  <c r="CP50" i="18"/>
  <c r="CO50" i="18"/>
  <c r="CN50" i="18"/>
  <c r="CM50" i="18"/>
  <c r="CL50" i="18"/>
  <c r="CK50" i="18"/>
  <c r="CJ50" i="18"/>
  <c r="DA49" i="18"/>
  <c r="CV49" i="18"/>
  <c r="CU49" i="18"/>
  <c r="CT49" i="18"/>
  <c r="CS49" i="18"/>
  <c r="CR49" i="18"/>
  <c r="CQ49" i="18"/>
  <c r="CP49" i="18"/>
  <c r="CO49" i="18"/>
  <c r="CN49" i="18"/>
  <c r="CM49" i="18"/>
  <c r="CL49" i="18"/>
  <c r="CK49" i="18"/>
  <c r="CJ49" i="18"/>
  <c r="DA48" i="18"/>
  <c r="CV48" i="18"/>
  <c r="CU48" i="18"/>
  <c r="CT48" i="18"/>
  <c r="CS48" i="18"/>
  <c r="CR48" i="18"/>
  <c r="CQ48" i="18"/>
  <c r="CP48" i="18"/>
  <c r="CO48" i="18"/>
  <c r="CN48" i="18"/>
  <c r="CM48" i="18"/>
  <c r="CL48" i="18"/>
  <c r="CK48" i="18"/>
  <c r="CJ48" i="18"/>
  <c r="DA47" i="18"/>
  <c r="CV47" i="18"/>
  <c r="CU47" i="18"/>
  <c r="CT47" i="18"/>
  <c r="CS47" i="18"/>
  <c r="CR47" i="18"/>
  <c r="CQ47" i="18"/>
  <c r="CP47" i="18"/>
  <c r="CO47" i="18"/>
  <c r="CN47" i="18"/>
  <c r="CM47" i="18"/>
  <c r="CL47" i="18"/>
  <c r="CK47" i="18"/>
  <c r="CJ47" i="18"/>
  <c r="DA46" i="18"/>
  <c r="CV46" i="18"/>
  <c r="CU46" i="18"/>
  <c r="CT46" i="18"/>
  <c r="CS46" i="18"/>
  <c r="CR46" i="18"/>
  <c r="CQ46" i="18"/>
  <c r="CP46" i="18"/>
  <c r="CO46" i="18"/>
  <c r="CN46" i="18"/>
  <c r="CM46" i="18"/>
  <c r="CL46" i="18"/>
  <c r="CK46" i="18"/>
  <c r="CJ46" i="18"/>
  <c r="DA45" i="18"/>
  <c r="CV45" i="18"/>
  <c r="CU45" i="18"/>
  <c r="CT45" i="18"/>
  <c r="CS45" i="18"/>
  <c r="CR45" i="18"/>
  <c r="CQ45" i="18"/>
  <c r="CP45" i="18"/>
  <c r="CO45" i="18"/>
  <c r="CN45" i="18"/>
  <c r="CM45" i="18"/>
  <c r="CL45" i="18"/>
  <c r="CK45" i="18"/>
  <c r="CJ45" i="18"/>
  <c r="DA44" i="18"/>
  <c r="CV44" i="18"/>
  <c r="CU44" i="18"/>
  <c r="CT44" i="18"/>
  <c r="CS44" i="18"/>
  <c r="CR44" i="18"/>
  <c r="CQ44" i="18"/>
  <c r="CP44" i="18"/>
  <c r="CO44" i="18"/>
  <c r="CN44" i="18"/>
  <c r="CM44" i="18"/>
  <c r="CL44" i="18"/>
  <c r="CK44" i="18"/>
  <c r="CJ44" i="18"/>
  <c r="CV42" i="18"/>
  <c r="CU42" i="18"/>
  <c r="CT42" i="18"/>
  <c r="CS42" i="18"/>
  <c r="CR42" i="18"/>
  <c r="CQ42" i="18"/>
  <c r="CP42" i="18"/>
  <c r="CO42" i="18"/>
  <c r="CN42" i="18"/>
  <c r="CM42" i="18"/>
  <c r="CL42" i="18"/>
  <c r="CK42" i="18"/>
  <c r="CJ42" i="18"/>
  <c r="CV41" i="18"/>
  <c r="CU41" i="18"/>
  <c r="CT41" i="18"/>
  <c r="CS41" i="18"/>
  <c r="CR41" i="18"/>
  <c r="CQ41" i="18"/>
  <c r="CP41" i="18"/>
  <c r="CO41" i="18"/>
  <c r="CN41" i="18"/>
  <c r="CM41" i="18"/>
  <c r="CL41" i="18"/>
  <c r="CK41" i="18"/>
  <c r="CJ41" i="18"/>
  <c r="DA40" i="18"/>
  <c r="CV40" i="18"/>
  <c r="CU40" i="18"/>
  <c r="CT40" i="18"/>
  <c r="CS40" i="18"/>
  <c r="CR40" i="18"/>
  <c r="CQ40" i="18"/>
  <c r="CP40" i="18"/>
  <c r="CO40" i="18"/>
  <c r="CN40" i="18"/>
  <c r="CM40" i="18"/>
  <c r="CL40" i="18"/>
  <c r="CK40" i="18"/>
  <c r="CJ40" i="18"/>
  <c r="DA39" i="18"/>
  <c r="CV39" i="18"/>
  <c r="CU39" i="18"/>
  <c r="CT39" i="18"/>
  <c r="CS39" i="18"/>
  <c r="CR39" i="18"/>
  <c r="CQ39" i="18"/>
  <c r="CP39" i="18"/>
  <c r="CO39" i="18"/>
  <c r="CN39" i="18"/>
  <c r="CM39" i="18"/>
  <c r="CL39" i="18"/>
  <c r="CK39" i="18"/>
  <c r="CJ39" i="18"/>
  <c r="DA38" i="18"/>
  <c r="CV38" i="18"/>
  <c r="CU38" i="18"/>
  <c r="CT38" i="18"/>
  <c r="CS38" i="18"/>
  <c r="CR38" i="18"/>
  <c r="CQ38" i="18"/>
  <c r="CP38" i="18"/>
  <c r="CO38" i="18"/>
  <c r="CN38" i="18"/>
  <c r="CM38" i="18"/>
  <c r="CL38" i="18"/>
  <c r="CK38" i="18"/>
  <c r="CJ38" i="18"/>
  <c r="DA37" i="18"/>
  <c r="CV37" i="18"/>
  <c r="CU37" i="18"/>
  <c r="CT37" i="18"/>
  <c r="CS37" i="18"/>
  <c r="CR37" i="18"/>
  <c r="CQ37" i="18"/>
  <c r="CP37" i="18"/>
  <c r="CO37" i="18"/>
  <c r="CN37" i="18"/>
  <c r="CM37" i="18"/>
  <c r="CL37" i="18"/>
  <c r="CK37" i="18"/>
  <c r="CJ37" i="18"/>
  <c r="DA36" i="18"/>
  <c r="CV36" i="18"/>
  <c r="CU36" i="18"/>
  <c r="CT36" i="18"/>
  <c r="CS36" i="18"/>
  <c r="CR36" i="18"/>
  <c r="CQ36" i="18"/>
  <c r="CP36" i="18"/>
  <c r="CO36" i="18"/>
  <c r="CN36" i="18"/>
  <c r="CM36" i="18"/>
  <c r="CL36" i="18"/>
  <c r="CK36" i="18"/>
  <c r="CJ36" i="18"/>
  <c r="DA35" i="18"/>
  <c r="CV35" i="18"/>
  <c r="CU35" i="18"/>
  <c r="CT35" i="18"/>
  <c r="CS35" i="18"/>
  <c r="CR35" i="18"/>
  <c r="CQ35" i="18"/>
  <c r="CP35" i="18"/>
  <c r="CO35" i="18"/>
  <c r="CN35" i="18"/>
  <c r="CM35" i="18"/>
  <c r="CL35" i="18"/>
  <c r="CK35" i="18"/>
  <c r="CJ35" i="18"/>
  <c r="DA34" i="18"/>
  <c r="DA33" i="18"/>
  <c r="DA32" i="18"/>
  <c r="DA31" i="18"/>
  <c r="CV31" i="18"/>
  <c r="CU31" i="18"/>
  <c r="CT31" i="18"/>
  <c r="CS31" i="18"/>
  <c r="CR31" i="18"/>
  <c r="CQ31" i="18"/>
  <c r="CP31" i="18"/>
  <c r="CO31" i="18"/>
  <c r="CN31" i="18"/>
  <c r="CM31" i="18"/>
  <c r="CL31" i="18"/>
  <c r="CK31" i="18"/>
  <c r="CJ31" i="18"/>
  <c r="DA30" i="18"/>
  <c r="CV30" i="18"/>
  <c r="CU30" i="18"/>
  <c r="CT30" i="18"/>
  <c r="CS30" i="18"/>
  <c r="CR30" i="18"/>
  <c r="CQ30" i="18"/>
  <c r="CP30" i="18"/>
  <c r="CO30" i="18"/>
  <c r="CN30" i="18"/>
  <c r="CM30" i="18"/>
  <c r="CL30" i="18"/>
  <c r="CK30" i="18"/>
  <c r="CJ30" i="18"/>
  <c r="DA29" i="18"/>
  <c r="CV29" i="18"/>
  <c r="CU29" i="18"/>
  <c r="CT29" i="18"/>
  <c r="CS29" i="18"/>
  <c r="CR29" i="18"/>
  <c r="CQ29" i="18"/>
  <c r="CP29" i="18"/>
  <c r="CO29" i="18"/>
  <c r="CN29" i="18"/>
  <c r="CM29" i="18"/>
  <c r="CL29" i="18"/>
  <c r="CK29" i="18"/>
  <c r="CJ29" i="18"/>
  <c r="DA28" i="18"/>
  <c r="CV28" i="18"/>
  <c r="CU28" i="18"/>
  <c r="CT28" i="18"/>
  <c r="CS28" i="18"/>
  <c r="CR28" i="18"/>
  <c r="CQ28" i="18"/>
  <c r="CP28" i="18"/>
  <c r="CO28" i="18"/>
  <c r="CN28" i="18"/>
  <c r="CM28" i="18"/>
  <c r="CL28" i="18"/>
  <c r="CK28" i="18"/>
  <c r="CJ28" i="18"/>
  <c r="DA27" i="18"/>
  <c r="CV27" i="18"/>
  <c r="CU27" i="18"/>
  <c r="CT27" i="18"/>
  <c r="CS27" i="18"/>
  <c r="CR27" i="18"/>
  <c r="CQ27" i="18"/>
  <c r="CP27" i="18"/>
  <c r="CO27" i="18"/>
  <c r="CN27" i="18"/>
  <c r="CM27" i="18"/>
  <c r="CL27" i="18"/>
  <c r="CK27" i="18"/>
  <c r="CJ27" i="18"/>
  <c r="DA26" i="18"/>
  <c r="CV26" i="18"/>
  <c r="CU26" i="18"/>
  <c r="CT26" i="18"/>
  <c r="CS26" i="18"/>
  <c r="CR26" i="18"/>
  <c r="CQ26" i="18"/>
  <c r="CP26" i="18"/>
  <c r="CO26" i="18"/>
  <c r="CN26" i="18"/>
  <c r="CM26" i="18"/>
  <c r="CL26" i="18"/>
  <c r="CK26" i="18"/>
  <c r="CJ26" i="18"/>
  <c r="DA25" i="18"/>
  <c r="CV25" i="18"/>
  <c r="CU25" i="18"/>
  <c r="CT25" i="18"/>
  <c r="CS25" i="18"/>
  <c r="CR25" i="18"/>
  <c r="CQ25" i="18"/>
  <c r="CP25" i="18"/>
  <c r="CO25" i="18"/>
  <c r="CN25" i="18"/>
  <c r="CM25" i="18"/>
  <c r="CL25" i="18"/>
  <c r="CK25" i="18"/>
  <c r="CJ25" i="18"/>
  <c r="DA24" i="18"/>
  <c r="CV24" i="18"/>
  <c r="CU24" i="18"/>
  <c r="CT24" i="18"/>
  <c r="CS24" i="18"/>
  <c r="CR24" i="18"/>
  <c r="CQ24" i="18"/>
  <c r="CP24" i="18"/>
  <c r="CO24" i="18"/>
  <c r="CN24" i="18"/>
  <c r="CM24" i="18"/>
  <c r="CL24" i="18"/>
  <c r="CK24" i="18"/>
  <c r="CJ24" i="18"/>
  <c r="DA23" i="18"/>
  <c r="CV23" i="18"/>
  <c r="CU23" i="18"/>
  <c r="CT23" i="18"/>
  <c r="CS23" i="18"/>
  <c r="CR23" i="18"/>
  <c r="CQ23" i="18"/>
  <c r="CP23" i="18"/>
  <c r="CO23" i="18"/>
  <c r="CN23" i="18"/>
  <c r="CM23" i="18"/>
  <c r="CL23" i="18"/>
  <c r="CK23" i="18"/>
  <c r="CJ23" i="18"/>
  <c r="DA22" i="18"/>
  <c r="CV22" i="18"/>
  <c r="CU22" i="18"/>
  <c r="CT22" i="18"/>
  <c r="CS22" i="18"/>
  <c r="CR22" i="18"/>
  <c r="CQ22" i="18"/>
  <c r="CP22" i="18"/>
  <c r="CO22" i="18"/>
  <c r="CN22" i="18"/>
  <c r="CM22" i="18"/>
  <c r="CL22" i="18"/>
  <c r="CK22" i="18"/>
  <c r="CJ22" i="18"/>
  <c r="DA21" i="18"/>
  <c r="CV21" i="18"/>
  <c r="CU21" i="18"/>
  <c r="CT21" i="18"/>
  <c r="CS21" i="18"/>
  <c r="CR21" i="18"/>
  <c r="CQ21" i="18"/>
  <c r="CP21" i="18"/>
  <c r="CO21" i="18"/>
  <c r="CN21" i="18"/>
  <c r="CM21" i="18"/>
  <c r="CL21" i="18"/>
  <c r="CK21" i="18"/>
  <c r="CJ21" i="18"/>
  <c r="DA20" i="18"/>
  <c r="CV20" i="18"/>
  <c r="CU20" i="18"/>
  <c r="CT20" i="18"/>
  <c r="CS20" i="18"/>
  <c r="CR20" i="18"/>
  <c r="CQ20" i="18"/>
  <c r="CP20" i="18"/>
  <c r="CO20" i="18"/>
  <c r="CN20" i="18"/>
  <c r="CM20" i="18"/>
  <c r="CL20" i="18"/>
  <c r="CK20" i="18"/>
  <c r="CJ20" i="18"/>
  <c r="CV19" i="18"/>
  <c r="CP19" i="18"/>
  <c r="CV18" i="18"/>
  <c r="CU18" i="18"/>
  <c r="CT18" i="18"/>
  <c r="CS18" i="18"/>
  <c r="CR18" i="18"/>
  <c r="CQ18" i="18"/>
  <c r="CP18" i="18"/>
  <c r="CO18" i="18"/>
  <c r="CN18" i="18"/>
  <c r="CM18" i="18"/>
  <c r="CL18" i="18"/>
  <c r="CK18" i="18"/>
  <c r="CJ18" i="18"/>
  <c r="CV17" i="18"/>
  <c r="CU17" i="18"/>
  <c r="CT17" i="18"/>
  <c r="CS17" i="18"/>
  <c r="CR17" i="18"/>
  <c r="CQ17" i="18"/>
  <c r="CP17" i="18"/>
  <c r="CO17" i="18"/>
  <c r="CN17" i="18"/>
  <c r="CM17" i="18"/>
  <c r="CL17" i="18"/>
  <c r="CK17" i="18"/>
  <c r="CJ17" i="18"/>
  <c r="CV16" i="18"/>
  <c r="CU16" i="18"/>
  <c r="CT16" i="18"/>
  <c r="CS16" i="18"/>
  <c r="CR16" i="18"/>
  <c r="CQ16" i="18"/>
  <c r="CP16" i="18"/>
  <c r="CO16" i="18"/>
  <c r="CN16" i="18"/>
  <c r="CM16" i="18"/>
  <c r="CL16" i="18"/>
  <c r="CK16" i="18"/>
  <c r="CJ16" i="18"/>
  <c r="CV15" i="18"/>
  <c r="CU15" i="18"/>
  <c r="CT15" i="18"/>
  <c r="CS15" i="18"/>
  <c r="CR15" i="18"/>
  <c r="CQ15" i="18"/>
  <c r="CP15" i="18"/>
  <c r="CO15" i="18"/>
  <c r="CN15" i="18"/>
  <c r="CM15" i="18"/>
  <c r="CL15" i="18"/>
  <c r="CK15" i="18"/>
  <c r="CJ15" i="18"/>
  <c r="DA13" i="18"/>
  <c r="DA12" i="18"/>
  <c r="DA10" i="18"/>
  <c r="CV10" i="18"/>
  <c r="CU10" i="18"/>
  <c r="CT10" i="18"/>
  <c r="CS10" i="18"/>
  <c r="CR10" i="18"/>
  <c r="CQ10" i="18"/>
  <c r="CP10" i="18"/>
  <c r="CO10" i="18"/>
  <c r="CN10" i="18"/>
  <c r="CM10" i="18"/>
  <c r="CL10" i="18"/>
  <c r="CK10" i="18"/>
  <c r="CJ10" i="18"/>
  <c r="CV9" i="18"/>
  <c r="CU9" i="18"/>
  <c r="CT9" i="18"/>
  <c r="DA8" i="18"/>
  <c r="P3" i="18"/>
  <c r="AE194" i="18" l="1"/>
  <c r="AA194" i="18"/>
  <c r="W194" i="18"/>
  <c r="S194" i="18"/>
  <c r="AE193" i="18"/>
  <c r="AA193" i="18"/>
  <c r="W193" i="18"/>
  <c r="S193" i="18"/>
  <c r="AE192" i="18"/>
  <c r="AA192" i="18"/>
  <c r="W192" i="18"/>
  <c r="S192" i="18"/>
  <c r="AE191" i="18"/>
  <c r="AA191" i="18"/>
  <c r="W191" i="18"/>
  <c r="S191" i="18"/>
  <c r="AE190" i="18"/>
  <c r="AA190" i="18"/>
  <c r="W190" i="18"/>
  <c r="S190" i="18"/>
  <c r="AE189" i="18"/>
  <c r="AA189" i="18"/>
  <c r="W189" i="18"/>
  <c r="S189" i="18"/>
  <c r="AE188" i="18"/>
  <c r="AA188" i="18"/>
  <c r="W188" i="18"/>
  <c r="S188" i="18"/>
  <c r="AE187" i="18"/>
  <c r="AA187" i="18"/>
  <c r="W187" i="18"/>
  <c r="S187" i="18"/>
  <c r="AE186" i="18"/>
  <c r="AA186" i="18"/>
  <c r="W186" i="18"/>
  <c r="S186" i="18"/>
  <c r="AE185" i="18"/>
  <c r="AA185" i="18"/>
  <c r="W185" i="18"/>
  <c r="S185" i="18"/>
  <c r="AE184" i="18"/>
  <c r="AA184" i="18"/>
  <c r="W184" i="18"/>
  <c r="S184" i="18"/>
  <c r="AE183" i="18"/>
  <c r="AA183" i="18"/>
  <c r="W183" i="18"/>
  <c r="S183" i="18"/>
  <c r="AE182" i="18"/>
  <c r="AA182" i="18"/>
  <c r="W182" i="18"/>
  <c r="S182" i="18"/>
  <c r="AE181" i="18"/>
  <c r="AA181" i="18"/>
  <c r="W181" i="18"/>
  <c r="S181" i="18"/>
  <c r="AE180" i="18"/>
  <c r="AA180" i="18"/>
  <c r="W180" i="18"/>
  <c r="S180" i="18"/>
  <c r="AE179" i="18"/>
  <c r="AA179" i="18"/>
  <c r="W179" i="18"/>
  <c r="S179" i="18"/>
  <c r="AE178" i="18"/>
  <c r="AA178" i="18"/>
  <c r="W178" i="18"/>
  <c r="S178" i="18"/>
  <c r="AE177" i="18"/>
  <c r="AA177" i="18"/>
  <c r="W177" i="18"/>
  <c r="S177" i="18"/>
  <c r="AE176" i="18"/>
  <c r="AA176" i="18"/>
  <c r="W176" i="18"/>
  <c r="S176" i="18"/>
  <c r="AE175" i="18"/>
  <c r="AA175" i="18"/>
  <c r="W175" i="18"/>
  <c r="S175" i="18"/>
  <c r="AE174" i="18"/>
  <c r="AA174" i="18"/>
  <c r="W174" i="18"/>
  <c r="S174" i="18"/>
  <c r="AE173" i="18"/>
  <c r="AD194" i="18"/>
  <c r="Z194" i="18"/>
  <c r="V194" i="18"/>
  <c r="R194" i="18"/>
  <c r="AD193" i="18"/>
  <c r="Z193" i="18"/>
  <c r="V193" i="18"/>
  <c r="R193" i="18"/>
  <c r="AD192" i="18"/>
  <c r="Z192" i="18"/>
  <c r="V192" i="18"/>
  <c r="R192" i="18"/>
  <c r="AD191" i="18"/>
  <c r="Z191" i="18"/>
  <c r="V191" i="18"/>
  <c r="R191" i="18"/>
  <c r="AD190" i="18"/>
  <c r="Z190" i="18"/>
  <c r="V190" i="18"/>
  <c r="R190" i="18"/>
  <c r="AD189" i="18"/>
  <c r="Z189" i="18"/>
  <c r="V189" i="18"/>
  <c r="R189" i="18"/>
  <c r="AD188" i="18"/>
  <c r="Z188" i="18"/>
  <c r="V188" i="18"/>
  <c r="R188" i="18"/>
  <c r="AD187" i="18"/>
  <c r="Z187" i="18"/>
  <c r="V187" i="18"/>
  <c r="R187" i="18"/>
  <c r="AD186" i="18"/>
  <c r="Z186" i="18"/>
  <c r="V186" i="18"/>
  <c r="R186" i="18"/>
  <c r="AD185" i="18"/>
  <c r="Z185" i="18"/>
  <c r="V185" i="18"/>
  <c r="R185" i="18"/>
  <c r="AD184" i="18"/>
  <c r="Z184" i="18"/>
  <c r="V184" i="18"/>
  <c r="R184" i="18"/>
  <c r="AD183" i="18"/>
  <c r="Z183" i="18"/>
  <c r="V183" i="18"/>
  <c r="R183" i="18"/>
  <c r="AD182" i="18"/>
  <c r="Z182" i="18"/>
  <c r="V182" i="18"/>
  <c r="R182" i="18"/>
  <c r="C182" i="18" s="1"/>
  <c r="AD181" i="18"/>
  <c r="Z181" i="18"/>
  <c r="V181" i="18"/>
  <c r="R181" i="18"/>
  <c r="AD180" i="18"/>
  <c r="Z180" i="18"/>
  <c r="V180" i="18"/>
  <c r="R180" i="18"/>
  <c r="AD179" i="18"/>
  <c r="Z179" i="18"/>
  <c r="V179" i="18"/>
  <c r="R179" i="18"/>
  <c r="AD178" i="18"/>
  <c r="Z178" i="18"/>
  <c r="V178" i="18"/>
  <c r="R178" i="18"/>
  <c r="AD177" i="18"/>
  <c r="Z177" i="18"/>
  <c r="V177" i="18"/>
  <c r="R177" i="18"/>
  <c r="AD176" i="18"/>
  <c r="Z176" i="18"/>
  <c r="V176" i="18"/>
  <c r="R176" i="18"/>
  <c r="AD175" i="18"/>
  <c r="Z175" i="18"/>
  <c r="V175" i="18"/>
  <c r="R175" i="18"/>
  <c r="AD174" i="18"/>
  <c r="Z174" i="18"/>
  <c r="V174" i="18"/>
  <c r="R174" i="18"/>
  <c r="AD173" i="18"/>
  <c r="AC194" i="18"/>
  <c r="Y194" i="18"/>
  <c r="U194" i="18"/>
  <c r="Q194" i="18"/>
  <c r="AC193" i="18"/>
  <c r="Y193" i="18"/>
  <c r="U193" i="18"/>
  <c r="Q193" i="18"/>
  <c r="AC192" i="18"/>
  <c r="Y192" i="18"/>
  <c r="U192" i="18"/>
  <c r="Q192" i="18"/>
  <c r="AC191" i="18"/>
  <c r="Y191" i="18"/>
  <c r="U191" i="18"/>
  <c r="Q191" i="18"/>
  <c r="AC190" i="18"/>
  <c r="Y190" i="18"/>
  <c r="U190" i="18"/>
  <c r="Q190" i="18"/>
  <c r="AC189" i="18"/>
  <c r="Y189" i="18"/>
  <c r="U189" i="18"/>
  <c r="Q189" i="18"/>
  <c r="AC188" i="18"/>
  <c r="Y188" i="18"/>
  <c r="U188" i="18"/>
  <c r="Q188" i="18"/>
  <c r="AC187" i="18"/>
  <c r="Y187" i="18"/>
  <c r="U187" i="18"/>
  <c r="Q187" i="18"/>
  <c r="AC186" i="18"/>
  <c r="Y186" i="18"/>
  <c r="U186" i="18"/>
  <c r="Q186" i="18"/>
  <c r="AC185" i="18"/>
  <c r="Y185" i="18"/>
  <c r="U185" i="18"/>
  <c r="Q185" i="18"/>
  <c r="AC184" i="18"/>
  <c r="Y184" i="18"/>
  <c r="U184" i="18"/>
  <c r="Q184" i="18"/>
  <c r="AC183" i="18"/>
  <c r="Y183" i="18"/>
  <c r="U183" i="18"/>
  <c r="Q183" i="18"/>
  <c r="AC182" i="18"/>
  <c r="Y182" i="18"/>
  <c r="U182" i="18"/>
  <c r="Q182" i="18"/>
  <c r="AC181" i="18"/>
  <c r="Y181" i="18"/>
  <c r="U181" i="18"/>
  <c r="Q181" i="18"/>
  <c r="AC180" i="18"/>
  <c r="Y180" i="18"/>
  <c r="U180" i="18"/>
  <c r="Q180" i="18"/>
  <c r="AC179" i="18"/>
  <c r="Y179" i="18"/>
  <c r="U179" i="18"/>
  <c r="Q179" i="18"/>
  <c r="AC178" i="18"/>
  <c r="Y178" i="18"/>
  <c r="U178" i="18"/>
  <c r="Q178" i="18"/>
  <c r="AC177" i="18"/>
  <c r="Y177" i="18"/>
  <c r="U177" i="18"/>
  <c r="Q177" i="18"/>
  <c r="AC176" i="18"/>
  <c r="Y176" i="18"/>
  <c r="U176" i="18"/>
  <c r="Q176" i="18"/>
  <c r="AC175" i="18"/>
  <c r="Y175" i="18"/>
  <c r="U175" i="18"/>
  <c r="Q175" i="18"/>
  <c r="AC174" i="18"/>
  <c r="Y174" i="18"/>
  <c r="U174" i="18"/>
  <c r="Q174" i="18"/>
  <c r="AC173" i="18"/>
  <c r="AB194" i="18"/>
  <c r="X194" i="18"/>
  <c r="T194" i="18"/>
  <c r="P194" i="18"/>
  <c r="AB193" i="18"/>
  <c r="X193" i="18"/>
  <c r="T193" i="18"/>
  <c r="P193" i="18"/>
  <c r="AB192" i="18"/>
  <c r="X192" i="18"/>
  <c r="T192" i="18"/>
  <c r="P192" i="18"/>
  <c r="AB191" i="18"/>
  <c r="X191" i="18"/>
  <c r="T191" i="18"/>
  <c r="P191" i="18"/>
  <c r="AB190" i="18"/>
  <c r="X190" i="18"/>
  <c r="T190" i="18"/>
  <c r="P190" i="18"/>
  <c r="AB189" i="18"/>
  <c r="X189" i="18"/>
  <c r="T189" i="18"/>
  <c r="P189" i="18"/>
  <c r="AB188" i="18"/>
  <c r="X188" i="18"/>
  <c r="T188" i="18"/>
  <c r="P188" i="18"/>
  <c r="AB187" i="18"/>
  <c r="X187" i="18"/>
  <c r="T187" i="18"/>
  <c r="P187" i="18"/>
  <c r="AB186" i="18"/>
  <c r="X186" i="18"/>
  <c r="T186" i="18"/>
  <c r="P186" i="18"/>
  <c r="AB185" i="18"/>
  <c r="X185" i="18"/>
  <c r="T185" i="18"/>
  <c r="P185" i="18"/>
  <c r="AB184" i="18"/>
  <c r="X184" i="18"/>
  <c r="T184" i="18"/>
  <c r="P184" i="18"/>
  <c r="AB183" i="18"/>
  <c r="X183" i="18"/>
  <c r="T183" i="18"/>
  <c r="P183" i="18"/>
  <c r="AB182" i="18"/>
  <c r="X182" i="18"/>
  <c r="T182" i="18"/>
  <c r="P182" i="18"/>
  <c r="B182" i="18" s="1"/>
  <c r="AB181" i="18"/>
  <c r="X181" i="18"/>
  <c r="T181" i="18"/>
  <c r="P181" i="18"/>
  <c r="AB180" i="18"/>
  <c r="X180" i="18"/>
  <c r="T180" i="18"/>
  <c r="P180" i="18"/>
  <c r="AB179" i="18"/>
  <c r="X179" i="18"/>
  <c r="T179" i="18"/>
  <c r="P179" i="18"/>
  <c r="AB178" i="18"/>
  <c r="X178" i="18"/>
  <c r="T178" i="18"/>
  <c r="P178" i="18"/>
  <c r="AB177" i="18"/>
  <c r="X177" i="18"/>
  <c r="T177" i="18"/>
  <c r="P177" i="18"/>
  <c r="AB176" i="18"/>
  <c r="X176" i="18"/>
  <c r="T176" i="18"/>
  <c r="P176" i="18"/>
  <c r="AB175" i="18"/>
  <c r="X175" i="18"/>
  <c r="T175" i="18"/>
  <c r="P175" i="18"/>
  <c r="AB174" i="18"/>
  <c r="X174" i="18"/>
  <c r="T174" i="18"/>
  <c r="P174" i="18"/>
  <c r="AB173" i="18"/>
  <c r="AA173" i="18"/>
  <c r="W173" i="18"/>
  <c r="S173" i="18"/>
  <c r="AE172" i="18"/>
  <c r="AA172" i="18"/>
  <c r="W172" i="18"/>
  <c r="S172" i="18"/>
  <c r="AE171" i="18"/>
  <c r="AA171" i="18"/>
  <c r="W171" i="18"/>
  <c r="S171" i="18"/>
  <c r="AE170" i="18"/>
  <c r="AA170" i="18"/>
  <c r="W170" i="18"/>
  <c r="S170" i="18"/>
  <c r="AE169" i="18"/>
  <c r="AA169" i="18"/>
  <c r="W169" i="18"/>
  <c r="S169" i="18"/>
  <c r="AE168" i="18"/>
  <c r="AA168" i="18"/>
  <c r="W168" i="18"/>
  <c r="S168" i="18"/>
  <c r="AE167" i="18"/>
  <c r="AA167" i="18"/>
  <c r="W167" i="18"/>
  <c r="S167" i="18"/>
  <c r="AE166" i="18"/>
  <c r="AA166" i="18"/>
  <c r="W166" i="18"/>
  <c r="S166" i="18"/>
  <c r="AE165" i="18"/>
  <c r="AA165" i="18"/>
  <c r="W165" i="18"/>
  <c r="S165" i="18"/>
  <c r="AE164" i="18"/>
  <c r="AA164" i="18"/>
  <c r="W164" i="18"/>
  <c r="S164" i="18"/>
  <c r="AE163" i="18"/>
  <c r="AA163" i="18"/>
  <c r="W163" i="18"/>
  <c r="S163" i="18"/>
  <c r="AE162" i="18"/>
  <c r="AA162" i="18"/>
  <c r="W162" i="18"/>
  <c r="S162" i="18"/>
  <c r="AE161" i="18"/>
  <c r="AA161" i="18"/>
  <c r="W161" i="18"/>
  <c r="S161" i="18"/>
  <c r="AE160" i="18"/>
  <c r="AA160" i="18"/>
  <c r="W160" i="18"/>
  <c r="S160" i="18"/>
  <c r="AE159" i="18"/>
  <c r="AA159" i="18"/>
  <c r="W159" i="18"/>
  <c r="S159" i="18"/>
  <c r="AE158" i="18"/>
  <c r="AA158" i="18"/>
  <c r="W158" i="18"/>
  <c r="S158" i="18"/>
  <c r="AE157" i="18"/>
  <c r="AA157" i="18"/>
  <c r="W157" i="18"/>
  <c r="S157" i="18"/>
  <c r="AE156" i="18"/>
  <c r="AA156" i="18"/>
  <c r="W156" i="18"/>
  <c r="S156" i="18"/>
  <c r="AE155" i="18"/>
  <c r="AA155" i="18"/>
  <c r="W155" i="18"/>
  <c r="S155" i="18"/>
  <c r="AE154" i="18"/>
  <c r="AA154" i="18"/>
  <c r="W154" i="18"/>
  <c r="S154" i="18"/>
  <c r="AE153" i="18"/>
  <c r="AA153" i="18"/>
  <c r="W153" i="18"/>
  <c r="S153" i="18"/>
  <c r="AE152" i="18"/>
  <c r="AA152" i="18"/>
  <c r="W152" i="18"/>
  <c r="Z173" i="18"/>
  <c r="V173" i="18"/>
  <c r="R173" i="18"/>
  <c r="AD172" i="18"/>
  <c r="Z172" i="18"/>
  <c r="V172" i="18"/>
  <c r="R172" i="18"/>
  <c r="AD171" i="18"/>
  <c r="Z171" i="18"/>
  <c r="V171" i="18"/>
  <c r="R171" i="18"/>
  <c r="AD170" i="18"/>
  <c r="Z170" i="18"/>
  <c r="V170" i="18"/>
  <c r="R170" i="18"/>
  <c r="AD169" i="18"/>
  <c r="Z169" i="18"/>
  <c r="V169" i="18"/>
  <c r="R169" i="18"/>
  <c r="AD168" i="18"/>
  <c r="Z168" i="18"/>
  <c r="V168" i="18"/>
  <c r="R168" i="18"/>
  <c r="AD167" i="18"/>
  <c r="Z167" i="18"/>
  <c r="V167" i="18"/>
  <c r="R167" i="18"/>
  <c r="AD166" i="18"/>
  <c r="Z166" i="18"/>
  <c r="V166" i="18"/>
  <c r="R166" i="18"/>
  <c r="AD165" i="18"/>
  <c r="Z165" i="18"/>
  <c r="V165" i="18"/>
  <c r="R165" i="18"/>
  <c r="C165" i="18" s="1"/>
  <c r="AD164" i="18"/>
  <c r="Z164" i="18"/>
  <c r="V164" i="18"/>
  <c r="R164" i="18"/>
  <c r="C164" i="18" s="1"/>
  <c r="AD163" i="18"/>
  <c r="Z163" i="18"/>
  <c r="V163" i="18"/>
  <c r="R163" i="18"/>
  <c r="C163" i="18" s="1"/>
  <c r="AD162" i="18"/>
  <c r="Z162" i="18"/>
  <c r="V162" i="18"/>
  <c r="R162" i="18"/>
  <c r="C162" i="18" s="1"/>
  <c r="AD161" i="18"/>
  <c r="Z161" i="18"/>
  <c r="V161" i="18"/>
  <c r="R161" i="18"/>
  <c r="C161" i="18" s="1"/>
  <c r="AD160" i="18"/>
  <c r="Z160" i="18"/>
  <c r="V160" i="18"/>
  <c r="R160" i="18"/>
  <c r="C160" i="18" s="1"/>
  <c r="AD159" i="18"/>
  <c r="Z159" i="18"/>
  <c r="V159" i="18"/>
  <c r="R159" i="18"/>
  <c r="C159" i="18" s="1"/>
  <c r="AD158" i="18"/>
  <c r="Z158" i="18"/>
  <c r="V158" i="18"/>
  <c r="R158" i="18"/>
  <c r="C158" i="18" s="1"/>
  <c r="AD157" i="18"/>
  <c r="Z157" i="18"/>
  <c r="V157" i="18"/>
  <c r="R157" i="18"/>
  <c r="AD156" i="18"/>
  <c r="Z156" i="18"/>
  <c r="V156" i="18"/>
  <c r="R156" i="18"/>
  <c r="AD155" i="18"/>
  <c r="Z155" i="18"/>
  <c r="V155" i="18"/>
  <c r="R155" i="18"/>
  <c r="AD154" i="18"/>
  <c r="Z154" i="18"/>
  <c r="V154" i="18"/>
  <c r="R154" i="18"/>
  <c r="AD153" i="18"/>
  <c r="Z153" i="18"/>
  <c r="V153" i="18"/>
  <c r="R153" i="18"/>
  <c r="AD152" i="18"/>
  <c r="Z152" i="18"/>
  <c r="Y173" i="18"/>
  <c r="U173" i="18"/>
  <c r="Q173" i="18"/>
  <c r="AC172" i="18"/>
  <c r="Y172" i="18"/>
  <c r="U172" i="18"/>
  <c r="Q172" i="18"/>
  <c r="AC171" i="18"/>
  <c r="Y171" i="18"/>
  <c r="U171" i="18"/>
  <c r="Q171" i="18"/>
  <c r="AC170" i="18"/>
  <c r="Y170" i="18"/>
  <c r="U170" i="18"/>
  <c r="Q170" i="18"/>
  <c r="AC169" i="18"/>
  <c r="Y169" i="18"/>
  <c r="U169" i="18"/>
  <c r="Q169" i="18"/>
  <c r="AC168" i="18"/>
  <c r="Y168" i="18"/>
  <c r="U168" i="18"/>
  <c r="Q168" i="18"/>
  <c r="AC167" i="18"/>
  <c r="Y167" i="18"/>
  <c r="U167" i="18"/>
  <c r="Q167" i="18"/>
  <c r="AC166" i="18"/>
  <c r="Y166" i="18"/>
  <c r="U166" i="18"/>
  <c r="Q166" i="18"/>
  <c r="AC165" i="18"/>
  <c r="Y165" i="18"/>
  <c r="U165" i="18"/>
  <c r="Q165" i="18"/>
  <c r="AC164" i="18"/>
  <c r="Y164" i="18"/>
  <c r="U164" i="18"/>
  <c r="Q164" i="18"/>
  <c r="AC163" i="18"/>
  <c r="Y163" i="18"/>
  <c r="U163" i="18"/>
  <c r="Q163" i="18"/>
  <c r="AC162" i="18"/>
  <c r="Y162" i="18"/>
  <c r="U162" i="18"/>
  <c r="Q162" i="18"/>
  <c r="AC161" i="18"/>
  <c r="Y161" i="18"/>
  <c r="U161" i="18"/>
  <c r="Q161" i="18"/>
  <c r="AC160" i="18"/>
  <c r="Y160" i="18"/>
  <c r="U160" i="18"/>
  <c r="Q160" i="18"/>
  <c r="AC159" i="18"/>
  <c r="Y159" i="18"/>
  <c r="U159" i="18"/>
  <c r="Q159" i="18"/>
  <c r="AC158" i="18"/>
  <c r="Y158" i="18"/>
  <c r="U158" i="18"/>
  <c r="Q158" i="18"/>
  <c r="AC157" i="18"/>
  <c r="Y157" i="18"/>
  <c r="U157" i="18"/>
  <c r="Q157" i="18"/>
  <c r="AC156" i="18"/>
  <c r="Y156" i="18"/>
  <c r="U156" i="18"/>
  <c r="Q156" i="18"/>
  <c r="AC155" i="18"/>
  <c r="Y155" i="18"/>
  <c r="U155" i="18"/>
  <c r="Q155" i="18"/>
  <c r="AC154" i="18"/>
  <c r="Y154" i="18"/>
  <c r="U154" i="18"/>
  <c r="Q154" i="18"/>
  <c r="AC153" i="18"/>
  <c r="Y153" i="18"/>
  <c r="U153" i="18"/>
  <c r="X173" i="18"/>
  <c r="T173" i="18"/>
  <c r="P173" i="18"/>
  <c r="AB172" i="18"/>
  <c r="X172" i="18"/>
  <c r="T172" i="18"/>
  <c r="P172" i="18"/>
  <c r="AB171" i="18"/>
  <c r="X171" i="18"/>
  <c r="T171" i="18"/>
  <c r="P171" i="18"/>
  <c r="AB170" i="18"/>
  <c r="X170" i="18"/>
  <c r="T170" i="18"/>
  <c r="P170" i="18"/>
  <c r="AB169" i="18"/>
  <c r="X169" i="18"/>
  <c r="T169" i="18"/>
  <c r="P169" i="18"/>
  <c r="AB168" i="18"/>
  <c r="X168" i="18"/>
  <c r="T168" i="18"/>
  <c r="P168" i="18"/>
  <c r="AB167" i="18"/>
  <c r="X167" i="18"/>
  <c r="T167" i="18"/>
  <c r="P167" i="18"/>
  <c r="AB166" i="18"/>
  <c r="X166" i="18"/>
  <c r="T166" i="18"/>
  <c r="P166" i="18"/>
  <c r="AB165" i="18"/>
  <c r="X165" i="18"/>
  <c r="T165" i="18"/>
  <c r="P165" i="18"/>
  <c r="AB164" i="18"/>
  <c r="X164" i="18"/>
  <c r="T164" i="18"/>
  <c r="P164" i="18"/>
  <c r="AB163" i="18"/>
  <c r="X163" i="18"/>
  <c r="T163" i="18"/>
  <c r="P163" i="18"/>
  <c r="AB162" i="18"/>
  <c r="X162" i="18"/>
  <c r="T162" i="18"/>
  <c r="P162" i="18"/>
  <c r="AB161" i="18"/>
  <c r="X161" i="18"/>
  <c r="T161" i="18"/>
  <c r="P161" i="18"/>
  <c r="AB160" i="18"/>
  <c r="X160" i="18"/>
  <c r="T160" i="18"/>
  <c r="P160" i="18"/>
  <c r="AB159" i="18"/>
  <c r="X159" i="18"/>
  <c r="T159" i="18"/>
  <c r="P159" i="18"/>
  <c r="AB158" i="18"/>
  <c r="X158" i="18"/>
  <c r="T158" i="18"/>
  <c r="P158" i="18"/>
  <c r="B158" i="18" s="1"/>
  <c r="AB157" i="18"/>
  <c r="X157" i="18"/>
  <c r="T157" i="18"/>
  <c r="P157" i="18"/>
  <c r="AB156" i="18"/>
  <c r="X156" i="18"/>
  <c r="T156" i="18"/>
  <c r="P156" i="18"/>
  <c r="AB155" i="18"/>
  <c r="X155" i="18"/>
  <c r="T155" i="18"/>
  <c r="P155" i="18"/>
  <c r="AB154" i="18"/>
  <c r="X154" i="18"/>
  <c r="T154" i="18"/>
  <c r="P154" i="18"/>
  <c r="AB153" i="18"/>
  <c r="X153" i="18"/>
  <c r="T153" i="18"/>
  <c r="Q153" i="18"/>
  <c r="Y152" i="18"/>
  <c r="T152" i="18"/>
  <c r="P152" i="18"/>
  <c r="AB151" i="18"/>
  <c r="X151" i="18"/>
  <c r="T151" i="18"/>
  <c r="P151" i="18"/>
  <c r="AB150" i="18"/>
  <c r="X150" i="18"/>
  <c r="T150" i="18"/>
  <c r="P150" i="18"/>
  <c r="AB149" i="18"/>
  <c r="X149" i="18"/>
  <c r="T149" i="18"/>
  <c r="P149" i="18"/>
  <c r="AB148" i="18"/>
  <c r="X148" i="18"/>
  <c r="T148" i="18"/>
  <c r="P148" i="18"/>
  <c r="AB147" i="18"/>
  <c r="X147" i="18"/>
  <c r="T147" i="18"/>
  <c r="P147" i="18"/>
  <c r="AB146" i="18"/>
  <c r="X146" i="18"/>
  <c r="T146" i="18"/>
  <c r="P146" i="18"/>
  <c r="AB145" i="18"/>
  <c r="X145" i="18"/>
  <c r="T145" i="18"/>
  <c r="P145" i="18"/>
  <c r="AB144" i="18"/>
  <c r="X144" i="18"/>
  <c r="T144" i="18"/>
  <c r="P144" i="18"/>
  <c r="AB143" i="18"/>
  <c r="X143" i="18"/>
  <c r="T143" i="18"/>
  <c r="P143" i="18"/>
  <c r="AB142" i="18"/>
  <c r="X142" i="18"/>
  <c r="T142" i="18"/>
  <c r="P142" i="18"/>
  <c r="AB141" i="18"/>
  <c r="X141" i="18"/>
  <c r="T141" i="18"/>
  <c r="P141" i="18"/>
  <c r="AB140" i="18"/>
  <c r="X140" i="18"/>
  <c r="T140" i="18"/>
  <c r="P140" i="18"/>
  <c r="AB139" i="18"/>
  <c r="X139" i="18"/>
  <c r="T139" i="18"/>
  <c r="P139" i="18"/>
  <c r="AB138" i="18"/>
  <c r="X138" i="18"/>
  <c r="T138" i="18"/>
  <c r="P138" i="18"/>
  <c r="AB137" i="18"/>
  <c r="X137" i="18"/>
  <c r="T137" i="18"/>
  <c r="P137" i="18"/>
  <c r="AB136" i="18"/>
  <c r="X136" i="18"/>
  <c r="T136" i="18"/>
  <c r="P136" i="18"/>
  <c r="AB135" i="18"/>
  <c r="X135" i="18"/>
  <c r="T135" i="18"/>
  <c r="P135" i="18"/>
  <c r="AB134" i="18"/>
  <c r="X134" i="18"/>
  <c r="T134" i="18"/>
  <c r="P134" i="18"/>
  <c r="AB133" i="18"/>
  <c r="X133" i="18"/>
  <c r="T133" i="18"/>
  <c r="P133" i="18"/>
  <c r="AB132" i="18"/>
  <c r="X132" i="18"/>
  <c r="T132" i="18"/>
  <c r="P132" i="18"/>
  <c r="AB131" i="18"/>
  <c r="X131" i="18"/>
  <c r="T131" i="18"/>
  <c r="P131" i="18"/>
  <c r="AB130" i="18"/>
  <c r="P153" i="18"/>
  <c r="X152" i="18"/>
  <c r="S152" i="18"/>
  <c r="AE151" i="18"/>
  <c r="AA151" i="18"/>
  <c r="W151" i="18"/>
  <c r="S151" i="18"/>
  <c r="AE150" i="18"/>
  <c r="AA150" i="18"/>
  <c r="W150" i="18"/>
  <c r="S150" i="18"/>
  <c r="AE149" i="18"/>
  <c r="AA149" i="18"/>
  <c r="W149" i="18"/>
  <c r="S149" i="18"/>
  <c r="AE148" i="18"/>
  <c r="AA148" i="18"/>
  <c r="W148" i="18"/>
  <c r="S148" i="18"/>
  <c r="AE147" i="18"/>
  <c r="AA147" i="18"/>
  <c r="W147" i="18"/>
  <c r="S147" i="18"/>
  <c r="AE146" i="18"/>
  <c r="AA146" i="18"/>
  <c r="W146" i="18"/>
  <c r="S146" i="18"/>
  <c r="AE145" i="18"/>
  <c r="AA145" i="18"/>
  <c r="W145" i="18"/>
  <c r="S145" i="18"/>
  <c r="AE144" i="18"/>
  <c r="AA144" i="18"/>
  <c r="W144" i="18"/>
  <c r="S144" i="18"/>
  <c r="AE143" i="18"/>
  <c r="AA143" i="18"/>
  <c r="W143" i="18"/>
  <c r="S143" i="18"/>
  <c r="AE142" i="18"/>
  <c r="AA142" i="18"/>
  <c r="W142" i="18"/>
  <c r="S142" i="18"/>
  <c r="AE141" i="18"/>
  <c r="AA141" i="18"/>
  <c r="W141" i="18"/>
  <c r="S141" i="18"/>
  <c r="AE140" i="18"/>
  <c r="AA140" i="18"/>
  <c r="W140" i="18"/>
  <c r="S140" i="18"/>
  <c r="AE139" i="18"/>
  <c r="AA139" i="18"/>
  <c r="W139" i="18"/>
  <c r="S139" i="18"/>
  <c r="AE138" i="18"/>
  <c r="AA138" i="18"/>
  <c r="W138" i="18"/>
  <c r="S138" i="18"/>
  <c r="AE137" i="18"/>
  <c r="AA137" i="18"/>
  <c r="W137" i="18"/>
  <c r="S137" i="18"/>
  <c r="AE136" i="18"/>
  <c r="AA136" i="18"/>
  <c r="W136" i="18"/>
  <c r="S136" i="18"/>
  <c r="AE135" i="18"/>
  <c r="AA135" i="18"/>
  <c r="W135" i="18"/>
  <c r="S135" i="18"/>
  <c r="AE134" i="18"/>
  <c r="AA134" i="18"/>
  <c r="W134" i="18"/>
  <c r="S134" i="18"/>
  <c r="AE133" i="18"/>
  <c r="AA133" i="18"/>
  <c r="W133" i="18"/>
  <c r="S133" i="18"/>
  <c r="AE132" i="18"/>
  <c r="AA132" i="18"/>
  <c r="W132" i="18"/>
  <c r="S132" i="18"/>
  <c r="AE131" i="18"/>
  <c r="AC152" i="18"/>
  <c r="V152" i="18"/>
  <c r="R152" i="18"/>
  <c r="AD151" i="18"/>
  <c r="Z151" i="18"/>
  <c r="V151" i="18"/>
  <c r="R151" i="18"/>
  <c r="AD150" i="18"/>
  <c r="Z150" i="18"/>
  <c r="V150" i="18"/>
  <c r="R150" i="18"/>
  <c r="AD149" i="18"/>
  <c r="Z149" i="18"/>
  <c r="V149" i="18"/>
  <c r="R149" i="18"/>
  <c r="AD148" i="18"/>
  <c r="Z148" i="18"/>
  <c r="V148" i="18"/>
  <c r="R148" i="18"/>
  <c r="AD147" i="18"/>
  <c r="Z147" i="18"/>
  <c r="V147" i="18"/>
  <c r="R147" i="18"/>
  <c r="AD146" i="18"/>
  <c r="Z146" i="18"/>
  <c r="V146" i="18"/>
  <c r="R146" i="18"/>
  <c r="AD145" i="18"/>
  <c r="Z145" i="18"/>
  <c r="V145" i="18"/>
  <c r="R145" i="18"/>
  <c r="AD144" i="18"/>
  <c r="Z144" i="18"/>
  <c r="V144" i="18"/>
  <c r="R144" i="18"/>
  <c r="AD143" i="18"/>
  <c r="Z143" i="18"/>
  <c r="V143" i="18"/>
  <c r="R143" i="18"/>
  <c r="AD142" i="18"/>
  <c r="Z142" i="18"/>
  <c r="V142" i="18"/>
  <c r="R142" i="18"/>
  <c r="AD141" i="18"/>
  <c r="Z141" i="18"/>
  <c r="V141" i="18"/>
  <c r="R141" i="18"/>
  <c r="AD140" i="18"/>
  <c r="Z140" i="18"/>
  <c r="V140" i="18"/>
  <c r="R140" i="18"/>
  <c r="AD139" i="18"/>
  <c r="Z139" i="18"/>
  <c r="V139" i="18"/>
  <c r="R139" i="18"/>
  <c r="AD138" i="18"/>
  <c r="Z138" i="18"/>
  <c r="V138" i="18"/>
  <c r="R138" i="18"/>
  <c r="AD137" i="18"/>
  <c r="Z137" i="18"/>
  <c r="V137" i="18"/>
  <c r="R137" i="18"/>
  <c r="AD136" i="18"/>
  <c r="Z136" i="18"/>
  <c r="V136" i="18"/>
  <c r="R136" i="18"/>
  <c r="AD135" i="18"/>
  <c r="Z135" i="18"/>
  <c r="V135" i="18"/>
  <c r="R135" i="18"/>
  <c r="AD134" i="18"/>
  <c r="Z134" i="18"/>
  <c r="V134" i="18"/>
  <c r="R134" i="18"/>
  <c r="AD133" i="18"/>
  <c r="Z133" i="18"/>
  <c r="V133" i="18"/>
  <c r="R133" i="18"/>
  <c r="AD132" i="18"/>
  <c r="Z132" i="18"/>
  <c r="V132" i="18"/>
  <c r="R132" i="18"/>
  <c r="AD131" i="18"/>
  <c r="Z131" i="18"/>
  <c r="AB152" i="18"/>
  <c r="U152" i="18"/>
  <c r="Q152" i="18"/>
  <c r="AC151" i="18"/>
  <c r="Y151" i="18"/>
  <c r="U151" i="18"/>
  <c r="Q151" i="18"/>
  <c r="AC150" i="18"/>
  <c r="Y150" i="18"/>
  <c r="U150" i="18"/>
  <c r="Q150" i="18"/>
  <c r="AC149" i="18"/>
  <c r="Y149" i="18"/>
  <c r="U149" i="18"/>
  <c r="Q149" i="18"/>
  <c r="AC148" i="18"/>
  <c r="Y148" i="18"/>
  <c r="U148" i="18"/>
  <c r="Q148" i="18"/>
  <c r="AC147" i="18"/>
  <c r="Y147" i="18"/>
  <c r="U147" i="18"/>
  <c r="Q147" i="18"/>
  <c r="AC146" i="18"/>
  <c r="Y146" i="18"/>
  <c r="U146" i="18"/>
  <c r="Q146" i="18"/>
  <c r="AC145" i="18"/>
  <c r="Y145" i="18"/>
  <c r="U145" i="18"/>
  <c r="Q145" i="18"/>
  <c r="AC144" i="18"/>
  <c r="Y144" i="18"/>
  <c r="U144" i="18"/>
  <c r="Q144" i="18"/>
  <c r="AC143" i="18"/>
  <c r="Y143" i="18"/>
  <c r="U143" i="18"/>
  <c r="Q143" i="18"/>
  <c r="AC142" i="18"/>
  <c r="Y142" i="18"/>
  <c r="U142" i="18"/>
  <c r="Q142" i="18"/>
  <c r="AC141" i="18"/>
  <c r="Y141" i="18"/>
  <c r="U141" i="18"/>
  <c r="Q141" i="18"/>
  <c r="AC140" i="18"/>
  <c r="Y140" i="18"/>
  <c r="U140" i="18"/>
  <c r="Q140" i="18"/>
  <c r="AC139" i="18"/>
  <c r="Y139" i="18"/>
  <c r="U139" i="18"/>
  <c r="Q139" i="18"/>
  <c r="AC138" i="18"/>
  <c r="Y138" i="18"/>
  <c r="U138" i="18"/>
  <c r="Q138" i="18"/>
  <c r="AC137" i="18"/>
  <c r="Y137" i="18"/>
  <c r="U137" i="18"/>
  <c r="Q137" i="18"/>
  <c r="AC136" i="18"/>
  <c r="Y136" i="18"/>
  <c r="U136" i="18"/>
  <c r="Q136" i="18"/>
  <c r="AC135" i="18"/>
  <c r="Y135" i="18"/>
  <c r="U135" i="18"/>
  <c r="Q135" i="18"/>
  <c r="AC134" i="18"/>
  <c r="Y134" i="18"/>
  <c r="U134" i="18"/>
  <c r="Q134" i="18"/>
  <c r="AC133" i="18"/>
  <c r="Y133" i="18"/>
  <c r="U133" i="18"/>
  <c r="Q133" i="18"/>
  <c r="AC132" i="18"/>
  <c r="Y132" i="18"/>
  <c r="U132" i="18"/>
  <c r="Q132" i="18"/>
  <c r="AC131" i="18"/>
  <c r="Y131" i="18"/>
  <c r="AA131" i="18"/>
  <c r="S131" i="18"/>
  <c r="AD130" i="18"/>
  <c r="Y130" i="18"/>
  <c r="U130" i="18"/>
  <c r="Q130" i="18"/>
  <c r="AC129" i="18"/>
  <c r="Y129" i="18"/>
  <c r="U129" i="18"/>
  <c r="Q129" i="18"/>
  <c r="AC128" i="18"/>
  <c r="Y128" i="18"/>
  <c r="U128" i="18"/>
  <c r="Q128" i="18"/>
  <c r="AC127" i="18"/>
  <c r="Y127" i="18"/>
  <c r="U127" i="18"/>
  <c r="Q127" i="18"/>
  <c r="AC126" i="18"/>
  <c r="Y126" i="18"/>
  <c r="U126" i="18"/>
  <c r="Q126" i="18"/>
  <c r="AC125" i="18"/>
  <c r="Y125" i="18"/>
  <c r="U125" i="18"/>
  <c r="Q125" i="18"/>
  <c r="AC124" i="18"/>
  <c r="Y124" i="18"/>
  <c r="U124" i="18"/>
  <c r="Q124" i="18"/>
  <c r="AC123" i="18"/>
  <c r="Y123" i="18"/>
  <c r="U123" i="18"/>
  <c r="Q123" i="18"/>
  <c r="AC122" i="18"/>
  <c r="Y122" i="18"/>
  <c r="U122" i="18"/>
  <c r="Q122" i="18"/>
  <c r="AC121" i="18"/>
  <c r="Y121" i="18"/>
  <c r="U121" i="18"/>
  <c r="Q121" i="18"/>
  <c r="AC120" i="18"/>
  <c r="Y120" i="18"/>
  <c r="U120" i="18"/>
  <c r="Q120" i="18"/>
  <c r="AC119" i="18"/>
  <c r="Y119" i="18"/>
  <c r="U119" i="18"/>
  <c r="Q119" i="18"/>
  <c r="AC118" i="18"/>
  <c r="Y118" i="18"/>
  <c r="U118" i="18"/>
  <c r="Q118" i="18"/>
  <c r="AC117" i="18"/>
  <c r="Y117" i="18"/>
  <c r="U117" i="18"/>
  <c r="Q117" i="18"/>
  <c r="AC116" i="18"/>
  <c r="Y116" i="18"/>
  <c r="U116" i="18"/>
  <c r="Q116" i="18"/>
  <c r="AC115" i="18"/>
  <c r="Y115" i="18"/>
  <c r="U115" i="18"/>
  <c r="Q115" i="18"/>
  <c r="AC114" i="18"/>
  <c r="Y114" i="18"/>
  <c r="U114" i="18"/>
  <c r="Q114" i="18"/>
  <c r="AC113" i="18"/>
  <c r="Y113" i="18"/>
  <c r="U113" i="18"/>
  <c r="Q113" i="18"/>
  <c r="AC112" i="18"/>
  <c r="Y112" i="18"/>
  <c r="U112" i="18"/>
  <c r="Q112" i="18"/>
  <c r="AC111" i="18"/>
  <c r="Y111" i="18"/>
  <c r="U111" i="18"/>
  <c r="Q111" i="18"/>
  <c r="AC110" i="18"/>
  <c r="Y110" i="18"/>
  <c r="U110" i="18"/>
  <c r="Q110" i="18"/>
  <c r="W131" i="18"/>
  <c r="R131" i="18"/>
  <c r="AC130" i="18"/>
  <c r="X130" i="18"/>
  <c r="T130" i="18"/>
  <c r="P130" i="18"/>
  <c r="AB129" i="18"/>
  <c r="X129" i="18"/>
  <c r="T129" i="18"/>
  <c r="P129" i="18"/>
  <c r="AB128" i="18"/>
  <c r="X128" i="18"/>
  <c r="T128" i="18"/>
  <c r="P128" i="18"/>
  <c r="AB127" i="18"/>
  <c r="X127" i="18"/>
  <c r="T127" i="18"/>
  <c r="P127" i="18"/>
  <c r="AB126" i="18"/>
  <c r="X126" i="18"/>
  <c r="T126" i="18"/>
  <c r="P126" i="18"/>
  <c r="AB125" i="18"/>
  <c r="X125" i="18"/>
  <c r="T125" i="18"/>
  <c r="P125" i="18"/>
  <c r="AB124" i="18"/>
  <c r="X124" i="18"/>
  <c r="T124" i="18"/>
  <c r="P124" i="18"/>
  <c r="AB123" i="18"/>
  <c r="X123" i="18"/>
  <c r="T123" i="18"/>
  <c r="P123" i="18"/>
  <c r="AB122" i="18"/>
  <c r="X122" i="18"/>
  <c r="T122" i="18"/>
  <c r="P122" i="18"/>
  <c r="AB121" i="18"/>
  <c r="X121" i="18"/>
  <c r="T121" i="18"/>
  <c r="P121" i="18"/>
  <c r="AB120" i="18"/>
  <c r="X120" i="18"/>
  <c r="T120" i="18"/>
  <c r="P120" i="18"/>
  <c r="AB119" i="18"/>
  <c r="X119" i="18"/>
  <c r="T119" i="18"/>
  <c r="P119" i="18"/>
  <c r="AB118" i="18"/>
  <c r="X118" i="18"/>
  <c r="T118" i="18"/>
  <c r="P118" i="18"/>
  <c r="AB117" i="18"/>
  <c r="X117" i="18"/>
  <c r="T117" i="18"/>
  <c r="P117" i="18"/>
  <c r="AB116" i="18"/>
  <c r="X116" i="18"/>
  <c r="T116" i="18"/>
  <c r="P116" i="18"/>
  <c r="AB115" i="18"/>
  <c r="X115" i="18"/>
  <c r="T115" i="18"/>
  <c r="P115" i="18"/>
  <c r="AB114" i="18"/>
  <c r="X114" i="18"/>
  <c r="T114" i="18"/>
  <c r="P114" i="18"/>
  <c r="AB113" i="18"/>
  <c r="X113" i="18"/>
  <c r="T113" i="18"/>
  <c r="P113" i="18"/>
  <c r="AB112" i="18"/>
  <c r="X112" i="18"/>
  <c r="T112" i="18"/>
  <c r="P112" i="18"/>
  <c r="AB111" i="18"/>
  <c r="X111" i="18"/>
  <c r="T111" i="18"/>
  <c r="P111" i="18"/>
  <c r="AB110" i="18"/>
  <c r="X110" i="18"/>
  <c r="T110" i="18"/>
  <c r="P110" i="18"/>
  <c r="V131" i="18"/>
  <c r="Q131" i="18"/>
  <c r="AA130" i="18"/>
  <c r="W130" i="18"/>
  <c r="S130" i="18"/>
  <c r="AE129" i="18"/>
  <c r="AA129" i="18"/>
  <c r="W129" i="18"/>
  <c r="S129" i="18"/>
  <c r="AE128" i="18"/>
  <c r="AA128" i="18"/>
  <c r="W128" i="18"/>
  <c r="S128" i="18"/>
  <c r="AE127" i="18"/>
  <c r="AA127" i="18"/>
  <c r="W127" i="18"/>
  <c r="S127" i="18"/>
  <c r="AE126" i="18"/>
  <c r="AA126" i="18"/>
  <c r="W126" i="18"/>
  <c r="S126" i="18"/>
  <c r="AE125" i="18"/>
  <c r="AA125" i="18"/>
  <c r="W125" i="18"/>
  <c r="S125" i="18"/>
  <c r="AE124" i="18"/>
  <c r="AA124" i="18"/>
  <c r="W124" i="18"/>
  <c r="S124" i="18"/>
  <c r="AE123" i="18"/>
  <c r="AA123" i="18"/>
  <c r="W123" i="18"/>
  <c r="S123" i="18"/>
  <c r="AE122" i="18"/>
  <c r="AA122" i="18"/>
  <c r="W122" i="18"/>
  <c r="S122" i="18"/>
  <c r="AE121" i="18"/>
  <c r="AA121" i="18"/>
  <c r="W121" i="18"/>
  <c r="S121" i="18"/>
  <c r="AE120" i="18"/>
  <c r="AA120" i="18"/>
  <c r="W120" i="18"/>
  <c r="S120" i="18"/>
  <c r="AE119" i="18"/>
  <c r="AA119" i="18"/>
  <c r="W119" i="18"/>
  <c r="S119" i="18"/>
  <c r="AE118" i="18"/>
  <c r="AA118" i="18"/>
  <c r="W118" i="18"/>
  <c r="S118" i="18"/>
  <c r="AE117" i="18"/>
  <c r="AA117" i="18"/>
  <c r="W117" i="18"/>
  <c r="S117" i="18"/>
  <c r="AE116" i="18"/>
  <c r="AA116" i="18"/>
  <c r="W116" i="18"/>
  <c r="S116" i="18"/>
  <c r="AE115" i="18"/>
  <c r="AA115" i="18"/>
  <c r="W115" i="18"/>
  <c r="S115" i="18"/>
  <c r="AE114" i="18"/>
  <c r="AA114" i="18"/>
  <c r="W114" i="18"/>
  <c r="S114" i="18"/>
  <c r="AE113" i="18"/>
  <c r="AA113" i="18"/>
  <c r="W113" i="18"/>
  <c r="S113" i="18"/>
  <c r="AE112" i="18"/>
  <c r="AA112" i="18"/>
  <c r="W112" i="18"/>
  <c r="S112" i="18"/>
  <c r="AE111" i="18"/>
  <c r="AA111" i="18"/>
  <c r="W111" i="18"/>
  <c r="S111" i="18"/>
  <c r="AE110" i="18"/>
  <c r="AA110" i="18"/>
  <c r="W110" i="18"/>
  <c r="S110" i="18"/>
  <c r="AE109" i="18"/>
  <c r="U131" i="18"/>
  <c r="AE130" i="18"/>
  <c r="Z130" i="18"/>
  <c r="V130" i="18"/>
  <c r="R130" i="18"/>
  <c r="AD129" i="18"/>
  <c r="Z129" i="18"/>
  <c r="V129" i="18"/>
  <c r="R129" i="18"/>
  <c r="AD128" i="18"/>
  <c r="Z128" i="18"/>
  <c r="V128" i="18"/>
  <c r="R128" i="18"/>
  <c r="AD127" i="18"/>
  <c r="Z127" i="18"/>
  <c r="V127" i="18"/>
  <c r="R127" i="18"/>
  <c r="AD126" i="18"/>
  <c r="Z126" i="18"/>
  <c r="V126" i="18"/>
  <c r="R126" i="18"/>
  <c r="AD125" i="18"/>
  <c r="Z125" i="18"/>
  <c r="V125" i="18"/>
  <c r="R125" i="18"/>
  <c r="AD124" i="18"/>
  <c r="Z124" i="18"/>
  <c r="V124" i="18"/>
  <c r="R124" i="18"/>
  <c r="AD123" i="18"/>
  <c r="Z123" i="18"/>
  <c r="V123" i="18"/>
  <c r="R123" i="18"/>
  <c r="AD122" i="18"/>
  <c r="Z122" i="18"/>
  <c r="V122" i="18"/>
  <c r="R122" i="18"/>
  <c r="AD121" i="18"/>
  <c r="Z121" i="18"/>
  <c r="V121" i="18"/>
  <c r="R121" i="18"/>
  <c r="AD120" i="18"/>
  <c r="Z120" i="18"/>
  <c r="V120" i="18"/>
  <c r="R120" i="18"/>
  <c r="AD119" i="18"/>
  <c r="Z119" i="18"/>
  <c r="V119" i="18"/>
  <c r="R119" i="18"/>
  <c r="AD118" i="18"/>
  <c r="Z118" i="18"/>
  <c r="V118" i="18"/>
  <c r="R118" i="18"/>
  <c r="AD117" i="18"/>
  <c r="Z117" i="18"/>
  <c r="V117" i="18"/>
  <c r="R117" i="18"/>
  <c r="AD116" i="18"/>
  <c r="Z116" i="18"/>
  <c r="V116" i="18"/>
  <c r="R116" i="18"/>
  <c r="AD115" i="18"/>
  <c r="Z115" i="18"/>
  <c r="V115" i="18"/>
  <c r="R115" i="18"/>
  <c r="C115" i="18" s="1"/>
  <c r="AD114" i="18"/>
  <c r="Z114" i="18"/>
  <c r="V114" i="18"/>
  <c r="R114" i="18"/>
  <c r="C114" i="18" s="1"/>
  <c r="AD113" i="18"/>
  <c r="Z113" i="18"/>
  <c r="V113" i="18"/>
  <c r="R113" i="18"/>
  <c r="AD112" i="18"/>
  <c r="Z112" i="18"/>
  <c r="V112" i="18"/>
  <c r="R112" i="18"/>
  <c r="AD111" i="18"/>
  <c r="Z111" i="18"/>
  <c r="V111" i="18"/>
  <c r="R111" i="18"/>
  <c r="AD110" i="18"/>
  <c r="Z110" i="18"/>
  <c r="V110" i="18"/>
  <c r="R110" i="18"/>
  <c r="AD109" i="18"/>
  <c r="Z109" i="18"/>
  <c r="V109" i="18"/>
  <c r="R109" i="18"/>
  <c r="AD108" i="18"/>
  <c r="Z108" i="18"/>
  <c r="V108" i="18"/>
  <c r="R108" i="18"/>
  <c r="AD107" i="18"/>
  <c r="Z107" i="18"/>
  <c r="V107" i="18"/>
  <c r="R107" i="18"/>
  <c r="AD106" i="18"/>
  <c r="Z106" i="18"/>
  <c r="V106" i="18"/>
  <c r="R106" i="18"/>
  <c r="AD105" i="18"/>
  <c r="Z105" i="18"/>
  <c r="V105" i="18"/>
  <c r="R105" i="18"/>
  <c r="AD104" i="18"/>
  <c r="Z104" i="18"/>
  <c r="V104" i="18"/>
  <c r="R104" i="18"/>
  <c r="AD103" i="18"/>
  <c r="Z103" i="18"/>
  <c r="V103" i="18"/>
  <c r="R103" i="18"/>
  <c r="AD102" i="18"/>
  <c r="Z102" i="18"/>
  <c r="V102" i="18"/>
  <c r="R102" i="18"/>
  <c r="AD101" i="18"/>
  <c r="Z101" i="18"/>
  <c r="V101" i="18"/>
  <c r="R101" i="18"/>
  <c r="AD100" i="18"/>
  <c r="Z100" i="18"/>
  <c r="V100" i="18"/>
  <c r="R100" i="18"/>
  <c r="AD99" i="18"/>
  <c r="Z99" i="18"/>
  <c r="V99" i="18"/>
  <c r="R99" i="18"/>
  <c r="AD98" i="18"/>
  <c r="Z98" i="18"/>
  <c r="V98" i="18"/>
  <c r="R98" i="18"/>
  <c r="AD97" i="18"/>
  <c r="Z97" i="18"/>
  <c r="V97" i="18"/>
  <c r="R97" i="18"/>
  <c r="AD96" i="18"/>
  <c r="Z96" i="18"/>
  <c r="V96" i="18"/>
  <c r="R96" i="18"/>
  <c r="AD95" i="18"/>
  <c r="Z95" i="18"/>
  <c r="V95" i="18"/>
  <c r="R95" i="18"/>
  <c r="AD94" i="18"/>
  <c r="Z94" i="18"/>
  <c r="V94" i="18"/>
  <c r="R94" i="18"/>
  <c r="AD93" i="18"/>
  <c r="Z93" i="18"/>
  <c r="V93" i="18"/>
  <c r="R93" i="18"/>
  <c r="AD92" i="18"/>
  <c r="Z92" i="18"/>
  <c r="V92" i="18"/>
  <c r="R92" i="18"/>
  <c r="AD91" i="18"/>
  <c r="Z91" i="18"/>
  <c r="V91" i="18"/>
  <c r="R91" i="18"/>
  <c r="AD90" i="18"/>
  <c r="Z90" i="18"/>
  <c r="V90" i="18"/>
  <c r="R90" i="18"/>
  <c r="AD89" i="18"/>
  <c r="Z89" i="18"/>
  <c r="V89" i="18"/>
  <c r="R89" i="18"/>
  <c r="AD88" i="18"/>
  <c r="Z88" i="18"/>
  <c r="V88" i="18"/>
  <c r="R88" i="18"/>
  <c r="AD87" i="18"/>
  <c r="Z87" i="18"/>
  <c r="V87" i="18"/>
  <c r="R87" i="18"/>
  <c r="AD86" i="18"/>
  <c r="Z86" i="18"/>
  <c r="V86" i="18"/>
  <c r="R86" i="18"/>
  <c r="AD85" i="18"/>
  <c r="Z85" i="18"/>
  <c r="V85" i="18"/>
  <c r="R85" i="18"/>
  <c r="AD84" i="18"/>
  <c r="Z84" i="18"/>
  <c r="V84" i="18"/>
  <c r="R84" i="18"/>
  <c r="AD83" i="18"/>
  <c r="Z83" i="18"/>
  <c r="V83" i="18"/>
  <c r="R83" i="18"/>
  <c r="AD82" i="18"/>
  <c r="Z82" i="18"/>
  <c r="V82" i="18"/>
  <c r="R82" i="18"/>
  <c r="AD81" i="18"/>
  <c r="Z81" i="18"/>
  <c r="V81" i="18"/>
  <c r="R81" i="18"/>
  <c r="AD80" i="18"/>
  <c r="Z80" i="18"/>
  <c r="V80" i="18"/>
  <c r="R80" i="18"/>
  <c r="AD79" i="18"/>
  <c r="Z79" i="18"/>
  <c r="V79" i="18"/>
  <c r="R79" i="18"/>
  <c r="AD78" i="18"/>
  <c r="Z78" i="18"/>
  <c r="V78" i="18"/>
  <c r="R78" i="18"/>
  <c r="AD77" i="18"/>
  <c r="Z77" i="18"/>
  <c r="V77" i="18"/>
  <c r="R77" i="18"/>
  <c r="AD76" i="18"/>
  <c r="Z76" i="18"/>
  <c r="V76" i="18"/>
  <c r="R76" i="18"/>
  <c r="AD75" i="18"/>
  <c r="Z75" i="18"/>
  <c r="V75" i="18"/>
  <c r="R75" i="18"/>
  <c r="AD74" i="18"/>
  <c r="Z74" i="18"/>
  <c r="V74" i="18"/>
  <c r="R74" i="18"/>
  <c r="AD73" i="18"/>
  <c r="Z73" i="18"/>
  <c r="V73" i="18"/>
  <c r="R73" i="18"/>
  <c r="C73" i="18" s="1"/>
  <c r="AD72" i="18"/>
  <c r="Z72" i="18"/>
  <c r="V72" i="18"/>
  <c r="R72" i="18"/>
  <c r="AD71" i="18"/>
  <c r="Z71" i="18"/>
  <c r="V71" i="18"/>
  <c r="R71" i="18"/>
  <c r="AD70" i="18"/>
  <c r="Z70" i="18"/>
  <c r="V70" i="18"/>
  <c r="R70" i="18"/>
  <c r="C70" i="18" s="1"/>
  <c r="AD69" i="18"/>
  <c r="Z69" i="18"/>
  <c r="V69" i="18"/>
  <c r="R69" i="18"/>
  <c r="AD68" i="18"/>
  <c r="Z68" i="18"/>
  <c r="V68" i="18"/>
  <c r="R68" i="18"/>
  <c r="AD67" i="18"/>
  <c r="Z67" i="18"/>
  <c r="AC109" i="18"/>
  <c r="Y109" i="18"/>
  <c r="U109" i="18"/>
  <c r="Q109" i="18"/>
  <c r="AC108" i="18"/>
  <c r="Y108" i="18"/>
  <c r="U108" i="18"/>
  <c r="Q108" i="18"/>
  <c r="AC107" i="18"/>
  <c r="Y107" i="18"/>
  <c r="U107" i="18"/>
  <c r="Q107" i="18"/>
  <c r="AC106" i="18"/>
  <c r="Y106" i="18"/>
  <c r="U106" i="18"/>
  <c r="Q106" i="18"/>
  <c r="AC105" i="18"/>
  <c r="Y105" i="18"/>
  <c r="U105" i="18"/>
  <c r="Q105" i="18"/>
  <c r="AC104" i="18"/>
  <c r="Y104" i="18"/>
  <c r="U104" i="18"/>
  <c r="Q104" i="18"/>
  <c r="AC103" i="18"/>
  <c r="Y103" i="18"/>
  <c r="U103" i="18"/>
  <c r="Q103" i="18"/>
  <c r="AC102" i="18"/>
  <c r="Y102" i="18"/>
  <c r="U102" i="18"/>
  <c r="Q102" i="18"/>
  <c r="AC101" i="18"/>
  <c r="Y101" i="18"/>
  <c r="U101" i="18"/>
  <c r="Q101" i="18"/>
  <c r="AC100" i="18"/>
  <c r="Y100" i="18"/>
  <c r="U100" i="18"/>
  <c r="Q100" i="18"/>
  <c r="AC99" i="18"/>
  <c r="Y99" i="18"/>
  <c r="U99" i="18"/>
  <c r="Q99" i="18"/>
  <c r="AC98" i="18"/>
  <c r="Y98" i="18"/>
  <c r="U98" i="18"/>
  <c r="Q98" i="18"/>
  <c r="AC97" i="18"/>
  <c r="Y97" i="18"/>
  <c r="U97" i="18"/>
  <c r="Q97" i="18"/>
  <c r="AC96" i="18"/>
  <c r="Y96" i="18"/>
  <c r="U96" i="18"/>
  <c r="Q96" i="18"/>
  <c r="AC95" i="18"/>
  <c r="Y95" i="18"/>
  <c r="U95" i="18"/>
  <c r="Q95" i="18"/>
  <c r="AC94" i="18"/>
  <c r="Y94" i="18"/>
  <c r="U94" i="18"/>
  <c r="Q94" i="18"/>
  <c r="AC93" i="18"/>
  <c r="Y93" i="18"/>
  <c r="U93" i="18"/>
  <c r="Q93" i="18"/>
  <c r="AC92" i="18"/>
  <c r="Y92" i="18"/>
  <c r="U92" i="18"/>
  <c r="Q92" i="18"/>
  <c r="AC91" i="18"/>
  <c r="Y91" i="18"/>
  <c r="U91" i="18"/>
  <c r="Q91" i="18"/>
  <c r="AC90" i="18"/>
  <c r="Y90" i="18"/>
  <c r="U90" i="18"/>
  <c r="Q90" i="18"/>
  <c r="AC89" i="18"/>
  <c r="Y89" i="18"/>
  <c r="U89" i="18"/>
  <c r="Q89" i="18"/>
  <c r="AC88" i="18"/>
  <c r="Y88" i="18"/>
  <c r="U88" i="18"/>
  <c r="Q88" i="18"/>
  <c r="AC87" i="18"/>
  <c r="Y87" i="18"/>
  <c r="U87" i="18"/>
  <c r="Q87" i="18"/>
  <c r="AC86" i="18"/>
  <c r="Y86" i="18"/>
  <c r="U86" i="18"/>
  <c r="Q86" i="18"/>
  <c r="AC85" i="18"/>
  <c r="Y85" i="18"/>
  <c r="U85" i="18"/>
  <c r="Q85" i="18"/>
  <c r="AC84" i="18"/>
  <c r="Y84" i="18"/>
  <c r="U84" i="18"/>
  <c r="Q84" i="18"/>
  <c r="AC83" i="18"/>
  <c r="Y83" i="18"/>
  <c r="U83" i="18"/>
  <c r="Q83" i="18"/>
  <c r="AC82" i="18"/>
  <c r="Y82" i="18"/>
  <c r="U82" i="18"/>
  <c r="Q82" i="18"/>
  <c r="AC81" i="18"/>
  <c r="Y81" i="18"/>
  <c r="U81" i="18"/>
  <c r="Q81" i="18"/>
  <c r="AC80" i="18"/>
  <c r="Y80" i="18"/>
  <c r="U80" i="18"/>
  <c r="Q80" i="18"/>
  <c r="AC79" i="18"/>
  <c r="Y79" i="18"/>
  <c r="U79" i="18"/>
  <c r="Q79" i="18"/>
  <c r="AC78" i="18"/>
  <c r="Y78" i="18"/>
  <c r="U78" i="18"/>
  <c r="Q78" i="18"/>
  <c r="AC77" i="18"/>
  <c r="Y77" i="18"/>
  <c r="U77" i="18"/>
  <c r="Q77" i="18"/>
  <c r="AC76" i="18"/>
  <c r="Y76" i="18"/>
  <c r="U76" i="18"/>
  <c r="Q76" i="18"/>
  <c r="AC75" i="18"/>
  <c r="Y75" i="18"/>
  <c r="U75" i="18"/>
  <c r="Q75" i="18"/>
  <c r="AC74" i="18"/>
  <c r="Y74" i="18"/>
  <c r="U74" i="18"/>
  <c r="Q74" i="18"/>
  <c r="AC73" i="18"/>
  <c r="Y73" i="18"/>
  <c r="U73" i="18"/>
  <c r="Q73" i="18"/>
  <c r="AC72" i="18"/>
  <c r="Y72" i="18"/>
  <c r="U72" i="18"/>
  <c r="Q72" i="18"/>
  <c r="AC71" i="18"/>
  <c r="Y71" i="18"/>
  <c r="U71" i="18"/>
  <c r="Q71" i="18"/>
  <c r="AC70" i="18"/>
  <c r="Y70" i="18"/>
  <c r="U70" i="18"/>
  <c r="Q70" i="18"/>
  <c r="AC69" i="18"/>
  <c r="Y69" i="18"/>
  <c r="U69" i="18"/>
  <c r="Q69" i="18"/>
  <c r="AC68" i="18"/>
  <c r="Y68" i="18"/>
  <c r="U68" i="18"/>
  <c r="Q68" i="18"/>
  <c r="AC67" i="18"/>
  <c r="Y67" i="18"/>
  <c r="AB109" i="18"/>
  <c r="X109" i="18"/>
  <c r="T109" i="18"/>
  <c r="P109" i="18"/>
  <c r="AB108" i="18"/>
  <c r="X108" i="18"/>
  <c r="T108" i="18"/>
  <c r="P108" i="18"/>
  <c r="AB107" i="18"/>
  <c r="X107" i="18"/>
  <c r="T107" i="18"/>
  <c r="P107" i="18"/>
  <c r="AB106" i="18"/>
  <c r="X106" i="18"/>
  <c r="T106" i="18"/>
  <c r="P106" i="18"/>
  <c r="AB105" i="18"/>
  <c r="X105" i="18"/>
  <c r="T105" i="18"/>
  <c r="P105" i="18"/>
  <c r="AB104" i="18"/>
  <c r="X104" i="18"/>
  <c r="T104" i="18"/>
  <c r="P104" i="18"/>
  <c r="AB103" i="18"/>
  <c r="X103" i="18"/>
  <c r="T103" i="18"/>
  <c r="P103" i="18"/>
  <c r="AB102" i="18"/>
  <c r="X102" i="18"/>
  <c r="T102" i="18"/>
  <c r="P102" i="18"/>
  <c r="AB101" i="18"/>
  <c r="X101" i="18"/>
  <c r="T101" i="18"/>
  <c r="P101" i="18"/>
  <c r="AB100" i="18"/>
  <c r="X100" i="18"/>
  <c r="T100" i="18"/>
  <c r="P100" i="18"/>
  <c r="AB99" i="18"/>
  <c r="X99" i="18"/>
  <c r="T99" i="18"/>
  <c r="P99" i="18"/>
  <c r="AB98" i="18"/>
  <c r="X98" i="18"/>
  <c r="T98" i="18"/>
  <c r="P98" i="18"/>
  <c r="AB97" i="18"/>
  <c r="X97" i="18"/>
  <c r="T97" i="18"/>
  <c r="P97" i="18"/>
  <c r="AB96" i="18"/>
  <c r="X96" i="18"/>
  <c r="T96" i="18"/>
  <c r="P96" i="18"/>
  <c r="AB95" i="18"/>
  <c r="X95" i="18"/>
  <c r="T95" i="18"/>
  <c r="P95" i="18"/>
  <c r="AB94" i="18"/>
  <c r="X94" i="18"/>
  <c r="T94" i="18"/>
  <c r="P94" i="18"/>
  <c r="AB93" i="18"/>
  <c r="X93" i="18"/>
  <c r="T93" i="18"/>
  <c r="P93" i="18"/>
  <c r="AB92" i="18"/>
  <c r="X92" i="18"/>
  <c r="T92" i="18"/>
  <c r="P92" i="18"/>
  <c r="AB91" i="18"/>
  <c r="X91" i="18"/>
  <c r="T91" i="18"/>
  <c r="P91" i="18"/>
  <c r="AB90" i="18"/>
  <c r="X90" i="18"/>
  <c r="T90" i="18"/>
  <c r="P90" i="18"/>
  <c r="AB89" i="18"/>
  <c r="X89" i="18"/>
  <c r="T89" i="18"/>
  <c r="P89" i="18"/>
  <c r="AB88" i="18"/>
  <c r="X88" i="18"/>
  <c r="T88" i="18"/>
  <c r="P88" i="18"/>
  <c r="AB87" i="18"/>
  <c r="X87" i="18"/>
  <c r="T87" i="18"/>
  <c r="P87" i="18"/>
  <c r="AB86" i="18"/>
  <c r="X86" i="18"/>
  <c r="T86" i="18"/>
  <c r="P86" i="18"/>
  <c r="AB85" i="18"/>
  <c r="X85" i="18"/>
  <c r="T85" i="18"/>
  <c r="P85" i="18"/>
  <c r="AB84" i="18"/>
  <c r="X84" i="18"/>
  <c r="T84" i="18"/>
  <c r="P84" i="18"/>
  <c r="AB83" i="18"/>
  <c r="X83" i="18"/>
  <c r="T83" i="18"/>
  <c r="P83" i="18"/>
  <c r="AB82" i="18"/>
  <c r="X82" i="18"/>
  <c r="T82" i="18"/>
  <c r="P82" i="18"/>
  <c r="AB81" i="18"/>
  <c r="X81" i="18"/>
  <c r="T81" i="18"/>
  <c r="P81" i="18"/>
  <c r="AB80" i="18"/>
  <c r="X80" i="18"/>
  <c r="T80" i="18"/>
  <c r="P80" i="18"/>
  <c r="AB79" i="18"/>
  <c r="X79" i="18"/>
  <c r="T79" i="18"/>
  <c r="P79" i="18"/>
  <c r="AB78" i="18"/>
  <c r="X78" i="18"/>
  <c r="T78" i="18"/>
  <c r="P78" i="18"/>
  <c r="AB77" i="18"/>
  <c r="X77" i="18"/>
  <c r="T77" i="18"/>
  <c r="P77" i="18"/>
  <c r="AB76" i="18"/>
  <c r="X76" i="18"/>
  <c r="T76" i="18"/>
  <c r="P76" i="18"/>
  <c r="AB75" i="18"/>
  <c r="X75" i="18"/>
  <c r="T75" i="18"/>
  <c r="P75" i="18"/>
  <c r="AB74" i="18"/>
  <c r="X74" i="18"/>
  <c r="T74" i="18"/>
  <c r="P74" i="18"/>
  <c r="AB73" i="18"/>
  <c r="X73" i="18"/>
  <c r="T73" i="18"/>
  <c r="P73" i="18"/>
  <c r="AB72" i="18"/>
  <c r="X72" i="18"/>
  <c r="T72" i="18"/>
  <c r="P72" i="18"/>
  <c r="AB71" i="18"/>
  <c r="X71" i="18"/>
  <c r="T71" i="18"/>
  <c r="P71" i="18"/>
  <c r="AB70" i="18"/>
  <c r="X70" i="18"/>
  <c r="T70" i="18"/>
  <c r="P70" i="18"/>
  <c r="AB69" i="18"/>
  <c r="X69" i="18"/>
  <c r="T69" i="18"/>
  <c r="P69" i="18"/>
  <c r="AB68" i="18"/>
  <c r="X68" i="18"/>
  <c r="T68" i="18"/>
  <c r="P68" i="18"/>
  <c r="AB67" i="18"/>
  <c r="X67" i="18"/>
  <c r="AA109" i="18"/>
  <c r="W109" i="18"/>
  <c r="S109" i="18"/>
  <c r="AE108" i="18"/>
  <c r="AA108" i="18"/>
  <c r="W108" i="18"/>
  <c r="S108" i="18"/>
  <c r="AE107" i="18"/>
  <c r="AA107" i="18"/>
  <c r="W107" i="18"/>
  <c r="S107" i="18"/>
  <c r="AE106" i="18"/>
  <c r="AA106" i="18"/>
  <c r="W106" i="18"/>
  <c r="S106" i="18"/>
  <c r="AE105" i="18"/>
  <c r="AA105" i="18"/>
  <c r="W105" i="18"/>
  <c r="S105" i="18"/>
  <c r="AE104" i="18"/>
  <c r="AA104" i="18"/>
  <c r="W104" i="18"/>
  <c r="S104" i="18"/>
  <c r="AE103" i="18"/>
  <c r="AA103" i="18"/>
  <c r="W103" i="18"/>
  <c r="S103" i="18"/>
  <c r="AE102" i="18"/>
  <c r="AA102" i="18"/>
  <c r="W102" i="18"/>
  <c r="S102" i="18"/>
  <c r="AE101" i="18"/>
  <c r="AA101" i="18"/>
  <c r="W101" i="18"/>
  <c r="S101" i="18"/>
  <c r="AE100" i="18"/>
  <c r="AA100" i="18"/>
  <c r="W100" i="18"/>
  <c r="S100" i="18"/>
  <c r="AE99" i="18"/>
  <c r="AA99" i="18"/>
  <c r="W99" i="18"/>
  <c r="S99" i="18"/>
  <c r="AE98" i="18"/>
  <c r="AA98" i="18"/>
  <c r="W98" i="18"/>
  <c r="S98" i="18"/>
  <c r="AE97" i="18"/>
  <c r="AA97" i="18"/>
  <c r="W97" i="18"/>
  <c r="S97" i="18"/>
  <c r="AE96" i="18"/>
  <c r="AA96" i="18"/>
  <c r="W96" i="18"/>
  <c r="S96" i="18"/>
  <c r="AE95" i="18"/>
  <c r="AA95" i="18"/>
  <c r="W95" i="18"/>
  <c r="S95" i="18"/>
  <c r="AE94" i="18"/>
  <c r="AA94" i="18"/>
  <c r="W94" i="18"/>
  <c r="S94" i="18"/>
  <c r="AE93" i="18"/>
  <c r="AA93" i="18"/>
  <c r="W93" i="18"/>
  <c r="S93" i="18"/>
  <c r="AE92" i="18"/>
  <c r="AA92" i="18"/>
  <c r="W92" i="18"/>
  <c r="S92" i="18"/>
  <c r="AE91" i="18"/>
  <c r="AA91" i="18"/>
  <c r="W91" i="18"/>
  <c r="S91" i="18"/>
  <c r="AE90" i="18"/>
  <c r="AA90" i="18"/>
  <c r="W90" i="18"/>
  <c r="S90" i="18"/>
  <c r="AE89" i="18"/>
  <c r="AA89" i="18"/>
  <c r="W89" i="18"/>
  <c r="S89" i="18"/>
  <c r="AE88" i="18"/>
  <c r="AA88" i="18"/>
  <c r="W88" i="18"/>
  <c r="S88" i="18"/>
  <c r="AE87" i="18"/>
  <c r="AA87" i="18"/>
  <c r="W87" i="18"/>
  <c r="S87" i="18"/>
  <c r="AE86" i="18"/>
  <c r="AA86" i="18"/>
  <c r="W86" i="18"/>
  <c r="S86" i="18"/>
  <c r="AE85" i="18"/>
  <c r="AA85" i="18"/>
  <c r="W85" i="18"/>
  <c r="S85" i="18"/>
  <c r="AE84" i="18"/>
  <c r="AA84" i="18"/>
  <c r="W84" i="18"/>
  <c r="S84" i="18"/>
  <c r="AE83" i="18"/>
  <c r="AA83" i="18"/>
  <c r="W83" i="18"/>
  <c r="S83" i="18"/>
  <c r="AE82" i="18"/>
  <c r="AA82" i="18"/>
  <c r="W82" i="18"/>
  <c r="S82" i="18"/>
  <c r="AE81" i="18"/>
  <c r="AA81" i="18"/>
  <c r="W81" i="18"/>
  <c r="S81" i="18"/>
  <c r="AE80" i="18"/>
  <c r="AA80" i="18"/>
  <c r="W80" i="18"/>
  <c r="S80" i="18"/>
  <c r="AE79" i="18"/>
  <c r="AA79" i="18"/>
  <c r="W79" i="18"/>
  <c r="S79" i="18"/>
  <c r="AE78" i="18"/>
  <c r="AA78" i="18"/>
  <c r="W78" i="18"/>
  <c r="S78" i="18"/>
  <c r="AE77" i="18"/>
  <c r="AA77" i="18"/>
  <c r="W77" i="18"/>
  <c r="S77" i="18"/>
  <c r="AE76" i="18"/>
  <c r="AA76" i="18"/>
  <c r="W76" i="18"/>
  <c r="S76" i="18"/>
  <c r="AE75" i="18"/>
  <c r="AA75" i="18"/>
  <c r="W75" i="18"/>
  <c r="S75" i="18"/>
  <c r="AE74" i="18"/>
  <c r="AA74" i="18"/>
  <c r="W74" i="18"/>
  <c r="S74" i="18"/>
  <c r="AE73" i="18"/>
  <c r="AA73" i="18"/>
  <c r="W73" i="18"/>
  <c r="S73" i="18"/>
  <c r="AE72" i="18"/>
  <c r="AA72" i="18"/>
  <c r="W72" i="18"/>
  <c r="S72" i="18"/>
  <c r="AE71" i="18"/>
  <c r="AA71" i="18"/>
  <c r="W71" i="18"/>
  <c r="S71" i="18"/>
  <c r="AE70" i="18"/>
  <c r="AA70" i="18"/>
  <c r="W70" i="18"/>
  <c r="S70" i="18"/>
  <c r="AE69" i="18"/>
  <c r="AA69" i="18"/>
  <c r="W69" i="18"/>
  <c r="S69" i="18"/>
  <c r="AE68" i="18"/>
  <c r="AA68" i="18"/>
  <c r="W68" i="18"/>
  <c r="S68" i="18"/>
  <c r="AE67" i="18"/>
  <c r="AA67" i="18"/>
  <c r="W67" i="18"/>
  <c r="S67" i="18"/>
  <c r="AE66" i="18"/>
  <c r="AA66" i="18"/>
  <c r="W66" i="18"/>
  <c r="S66" i="18"/>
  <c r="AE65" i="18"/>
  <c r="AA65" i="18"/>
  <c r="W65" i="18"/>
  <c r="S65" i="18"/>
  <c r="AE64" i="18"/>
  <c r="AA64" i="18"/>
  <c r="W64" i="18"/>
  <c r="S64" i="18"/>
  <c r="AE63" i="18"/>
  <c r="W63" i="18"/>
  <c r="S63" i="18"/>
  <c r="AE62" i="18"/>
  <c r="AA62" i="18"/>
  <c r="W62" i="18"/>
  <c r="S62" i="18"/>
  <c r="AE61" i="18"/>
  <c r="AA61" i="18"/>
  <c r="W61" i="18"/>
  <c r="S61" i="18"/>
  <c r="AE60" i="18"/>
  <c r="AA60" i="18"/>
  <c r="W60" i="18"/>
  <c r="S60" i="18"/>
  <c r="AE59" i="18"/>
  <c r="AA59" i="18"/>
  <c r="W59" i="18"/>
  <c r="S59" i="18"/>
  <c r="AE58" i="18"/>
  <c r="AA58" i="18"/>
  <c r="W58" i="18"/>
  <c r="S58" i="18"/>
  <c r="AE57" i="18"/>
  <c r="AA57" i="18"/>
  <c r="W57" i="18"/>
  <c r="S57" i="18"/>
  <c r="AE56" i="18"/>
  <c r="AA56" i="18"/>
  <c r="W56" i="18"/>
  <c r="S56" i="18"/>
  <c r="AE55" i="18"/>
  <c r="AA55" i="18"/>
  <c r="W55" i="18"/>
  <c r="S55" i="18"/>
  <c r="AE54" i="18"/>
  <c r="AA54" i="18"/>
  <c r="W54" i="18"/>
  <c r="S54" i="18"/>
  <c r="AE53" i="18"/>
  <c r="AA53" i="18"/>
  <c r="W53" i="18"/>
  <c r="S53" i="18"/>
  <c r="AE52" i="18"/>
  <c r="AA52" i="18"/>
  <c r="W52" i="18"/>
  <c r="S52" i="18"/>
  <c r="AE51" i="18"/>
  <c r="AA51" i="18"/>
  <c r="W51" i="18"/>
  <c r="S51" i="18"/>
  <c r="AE50" i="18"/>
  <c r="AA50" i="18"/>
  <c r="W50" i="18"/>
  <c r="S50" i="18"/>
  <c r="AE49" i="18"/>
  <c r="AA49" i="18"/>
  <c r="W49" i="18"/>
  <c r="S49" i="18"/>
  <c r="AE48" i="18"/>
  <c r="AA48" i="18"/>
  <c r="W48" i="18"/>
  <c r="S48" i="18"/>
  <c r="AE47" i="18"/>
  <c r="AA47" i="18"/>
  <c r="W47" i="18"/>
  <c r="S47" i="18"/>
  <c r="AE46" i="18"/>
  <c r="AA46" i="18"/>
  <c r="W46" i="18"/>
  <c r="S46" i="18"/>
  <c r="AE45" i="18"/>
  <c r="AA45" i="18"/>
  <c r="W45" i="18"/>
  <c r="S45" i="18"/>
  <c r="AE44" i="18"/>
  <c r="AA44" i="18"/>
  <c r="W44" i="18"/>
  <c r="S44" i="18"/>
  <c r="AE43" i="18"/>
  <c r="AA43" i="18"/>
  <c r="W43" i="18"/>
  <c r="S43" i="18"/>
  <c r="AE42" i="18"/>
  <c r="AA42" i="18"/>
  <c r="W42" i="18"/>
  <c r="S42" i="18"/>
  <c r="AE41" i="18"/>
  <c r="AA41" i="18"/>
  <c r="W41" i="18"/>
  <c r="S41" i="18"/>
  <c r="AE40" i="18"/>
  <c r="AA40" i="18"/>
  <c r="W40" i="18"/>
  <c r="S40" i="18"/>
  <c r="AE39" i="18"/>
  <c r="AA39" i="18"/>
  <c r="W39" i="18"/>
  <c r="S39" i="18"/>
  <c r="AE38" i="18"/>
  <c r="AA38" i="18"/>
  <c r="W38" i="18"/>
  <c r="S38" i="18"/>
  <c r="AE37" i="18"/>
  <c r="AA37" i="18"/>
  <c r="W37" i="18"/>
  <c r="S37" i="18"/>
  <c r="AE36" i="18"/>
  <c r="AA36" i="18"/>
  <c r="W36" i="18"/>
  <c r="S36" i="18"/>
  <c r="AE35" i="18"/>
  <c r="AA35" i="18"/>
  <c r="W35" i="18"/>
  <c r="S35" i="18"/>
  <c r="AE34" i="18"/>
  <c r="AA34" i="18"/>
  <c r="W34" i="18"/>
  <c r="S34" i="18"/>
  <c r="AE33" i="18"/>
  <c r="AA33" i="18"/>
  <c r="W33" i="18"/>
  <c r="S33" i="18"/>
  <c r="AE32" i="18"/>
  <c r="AA32" i="18"/>
  <c r="W32" i="18"/>
  <c r="S32" i="18"/>
  <c r="AE31" i="18"/>
  <c r="AA31" i="18"/>
  <c r="W31" i="18"/>
  <c r="S31" i="18"/>
  <c r="AE30" i="18"/>
  <c r="AA30" i="18"/>
  <c r="W30" i="18"/>
  <c r="S30" i="18"/>
  <c r="AE29" i="18"/>
  <c r="AA29" i="18"/>
  <c r="W29" i="18"/>
  <c r="S29" i="18"/>
  <c r="AE28" i="18"/>
  <c r="AA28" i="18"/>
  <c r="W28" i="18"/>
  <c r="S28" i="18"/>
  <c r="AE27" i="18"/>
  <c r="AA27" i="18"/>
  <c r="W27" i="18"/>
  <c r="S27" i="18"/>
  <c r="AE26" i="18"/>
  <c r="AA26" i="18"/>
  <c r="W26" i="18"/>
  <c r="S26" i="18"/>
  <c r="AE25" i="18"/>
  <c r="AA25" i="18"/>
  <c r="W25" i="18"/>
  <c r="S25" i="18"/>
  <c r="AE24" i="18"/>
  <c r="V67" i="18"/>
  <c r="R67" i="18"/>
  <c r="AD66" i="18"/>
  <c r="Z66" i="18"/>
  <c r="V66" i="18"/>
  <c r="R66" i="18"/>
  <c r="AD65" i="18"/>
  <c r="Z65" i="18"/>
  <c r="V65" i="18"/>
  <c r="R65" i="18"/>
  <c r="AD64" i="18"/>
  <c r="Z64" i="18"/>
  <c r="V64" i="18"/>
  <c r="R64" i="18"/>
  <c r="AD63" i="18"/>
  <c r="Z63" i="18"/>
  <c r="V63" i="18"/>
  <c r="R63" i="18"/>
  <c r="AD62" i="18"/>
  <c r="Z62" i="18"/>
  <c r="V62" i="18"/>
  <c r="R62" i="18"/>
  <c r="AD61" i="18"/>
  <c r="Z61" i="18"/>
  <c r="V61" i="18"/>
  <c r="R61" i="18"/>
  <c r="AD60" i="18"/>
  <c r="Z60" i="18"/>
  <c r="V60" i="18"/>
  <c r="R60" i="18"/>
  <c r="AD59" i="18"/>
  <c r="Z59" i="18"/>
  <c r="V59" i="18"/>
  <c r="R59" i="18"/>
  <c r="AD58" i="18"/>
  <c r="Z58" i="18"/>
  <c r="V58" i="18"/>
  <c r="R58" i="18"/>
  <c r="AD57" i="18"/>
  <c r="Z57" i="18"/>
  <c r="V57" i="18"/>
  <c r="R57" i="18"/>
  <c r="AD56" i="18"/>
  <c r="Z56" i="18"/>
  <c r="V56" i="18"/>
  <c r="R56" i="18"/>
  <c r="AD55" i="18"/>
  <c r="Z55" i="18"/>
  <c r="V55" i="18"/>
  <c r="R55" i="18"/>
  <c r="AD54" i="18"/>
  <c r="Z54" i="18"/>
  <c r="V54" i="18"/>
  <c r="R54" i="18"/>
  <c r="AD53" i="18"/>
  <c r="Z53" i="18"/>
  <c r="V53" i="18"/>
  <c r="R53" i="18"/>
  <c r="AD52" i="18"/>
  <c r="Z52" i="18"/>
  <c r="V52" i="18"/>
  <c r="R52" i="18"/>
  <c r="AD51" i="18"/>
  <c r="Z51" i="18"/>
  <c r="V51" i="18"/>
  <c r="R51" i="18"/>
  <c r="AD50" i="18"/>
  <c r="Z50" i="18"/>
  <c r="V50" i="18"/>
  <c r="R50" i="18"/>
  <c r="AD49" i="18"/>
  <c r="Z49" i="18"/>
  <c r="V49" i="18"/>
  <c r="R49" i="18"/>
  <c r="AD48" i="18"/>
  <c r="Z48" i="18"/>
  <c r="V48" i="18"/>
  <c r="R48" i="18"/>
  <c r="AD47" i="18"/>
  <c r="Z47" i="18"/>
  <c r="V47" i="18"/>
  <c r="R47" i="18"/>
  <c r="AD46" i="18"/>
  <c r="Z46" i="18"/>
  <c r="V46" i="18"/>
  <c r="R46" i="18"/>
  <c r="AD45" i="18"/>
  <c r="Z45" i="18"/>
  <c r="V45" i="18"/>
  <c r="R45" i="18"/>
  <c r="AD44" i="18"/>
  <c r="Z44" i="18"/>
  <c r="V44" i="18"/>
  <c r="R44" i="18"/>
  <c r="AD43" i="18"/>
  <c r="Z43" i="18"/>
  <c r="V43" i="18"/>
  <c r="R43" i="18"/>
  <c r="AD42" i="18"/>
  <c r="Z42" i="18"/>
  <c r="V42" i="18"/>
  <c r="R42" i="18"/>
  <c r="AD41" i="18"/>
  <c r="Z41" i="18"/>
  <c r="V41" i="18"/>
  <c r="R41" i="18"/>
  <c r="AD40" i="18"/>
  <c r="Z40" i="18"/>
  <c r="V40" i="18"/>
  <c r="R40" i="18"/>
  <c r="AD39" i="18"/>
  <c r="Z39" i="18"/>
  <c r="V39" i="18"/>
  <c r="R39" i="18"/>
  <c r="AD38" i="18"/>
  <c r="Z38" i="18"/>
  <c r="V38" i="18"/>
  <c r="R38" i="18"/>
  <c r="AD37" i="18"/>
  <c r="Z37" i="18"/>
  <c r="V37" i="18"/>
  <c r="R37" i="18"/>
  <c r="AD36" i="18"/>
  <c r="Z36" i="18"/>
  <c r="V36" i="18"/>
  <c r="R36" i="18"/>
  <c r="AD35" i="18"/>
  <c r="Z35" i="18"/>
  <c r="V35" i="18"/>
  <c r="R35" i="18"/>
  <c r="AD34" i="18"/>
  <c r="Z34" i="18"/>
  <c r="V34" i="18"/>
  <c r="R34" i="18"/>
  <c r="AD33" i="18"/>
  <c r="Z33" i="18"/>
  <c r="V33" i="18"/>
  <c r="R33" i="18"/>
  <c r="AD32" i="18"/>
  <c r="Z32" i="18"/>
  <c r="V32" i="18"/>
  <c r="R32" i="18"/>
  <c r="C32" i="18" s="1"/>
  <c r="AD31" i="18"/>
  <c r="Z31" i="18"/>
  <c r="V31" i="18"/>
  <c r="R31" i="18"/>
  <c r="AD30" i="18"/>
  <c r="Z30" i="18"/>
  <c r="V30" i="18"/>
  <c r="R30" i="18"/>
  <c r="AD29" i="18"/>
  <c r="Z29" i="18"/>
  <c r="V29" i="18"/>
  <c r="R29" i="18"/>
  <c r="AD28" i="18"/>
  <c r="Z28" i="18"/>
  <c r="V28" i="18"/>
  <c r="R28" i="18"/>
  <c r="AD27" i="18"/>
  <c r="Z27" i="18"/>
  <c r="V27" i="18"/>
  <c r="R27" i="18"/>
  <c r="AD26" i="18"/>
  <c r="Z26" i="18"/>
  <c r="V26" i="18"/>
  <c r="R26" i="18"/>
  <c r="AD25" i="18"/>
  <c r="Z25" i="18"/>
  <c r="V25" i="18"/>
  <c r="R25" i="18"/>
  <c r="AD24" i="18"/>
  <c r="Z24" i="18"/>
  <c r="U67" i="18"/>
  <c r="Q67" i="18"/>
  <c r="AC66" i="18"/>
  <c r="Y66" i="18"/>
  <c r="U66" i="18"/>
  <c r="Q66" i="18"/>
  <c r="AC65" i="18"/>
  <c r="Y65" i="18"/>
  <c r="U65" i="18"/>
  <c r="Q65" i="18"/>
  <c r="AC64" i="18"/>
  <c r="Y64" i="18"/>
  <c r="U64" i="18"/>
  <c r="Q64" i="18"/>
  <c r="AC63" i="18"/>
  <c r="Y63" i="18"/>
  <c r="U63" i="18"/>
  <c r="Q63" i="18"/>
  <c r="AC62" i="18"/>
  <c r="Y62" i="18"/>
  <c r="U62" i="18"/>
  <c r="Q62" i="18"/>
  <c r="AC61" i="18"/>
  <c r="Y61" i="18"/>
  <c r="U61" i="18"/>
  <c r="Q61" i="18"/>
  <c r="AC60" i="18"/>
  <c r="Y60" i="18"/>
  <c r="U60" i="18"/>
  <c r="Q60" i="18"/>
  <c r="AC59" i="18"/>
  <c r="Y59" i="18"/>
  <c r="U59" i="18"/>
  <c r="Q59" i="18"/>
  <c r="AC58" i="18"/>
  <c r="Y58" i="18"/>
  <c r="U58" i="18"/>
  <c r="Q58" i="18"/>
  <c r="AC57" i="18"/>
  <c r="Y57" i="18"/>
  <c r="U57" i="18"/>
  <c r="Q57" i="18"/>
  <c r="AC56" i="18"/>
  <c r="Y56" i="18"/>
  <c r="U56" i="18"/>
  <c r="Q56" i="18"/>
  <c r="AC55" i="18"/>
  <c r="Y55" i="18"/>
  <c r="U55" i="18"/>
  <c r="Q55" i="18"/>
  <c r="AC54" i="18"/>
  <c r="Y54" i="18"/>
  <c r="U54" i="18"/>
  <c r="Q54" i="18"/>
  <c r="AC53" i="18"/>
  <c r="Y53" i="18"/>
  <c r="U53" i="18"/>
  <c r="Q53" i="18"/>
  <c r="AC52" i="18"/>
  <c r="Y52" i="18"/>
  <c r="U52" i="18"/>
  <c r="Q52" i="18"/>
  <c r="AC51" i="18"/>
  <c r="Y51" i="18"/>
  <c r="U51" i="18"/>
  <c r="Q51" i="18"/>
  <c r="AC50" i="18"/>
  <c r="Y50" i="18"/>
  <c r="U50" i="18"/>
  <c r="Q50" i="18"/>
  <c r="AC49" i="18"/>
  <c r="Y49" i="18"/>
  <c r="U49" i="18"/>
  <c r="Q49" i="18"/>
  <c r="AC48" i="18"/>
  <c r="Y48" i="18"/>
  <c r="U48" i="18"/>
  <c r="Q48" i="18"/>
  <c r="AC47" i="18"/>
  <c r="Y47" i="18"/>
  <c r="U47" i="18"/>
  <c r="Q47" i="18"/>
  <c r="AC46" i="18"/>
  <c r="Y46" i="18"/>
  <c r="U46" i="18"/>
  <c r="Q46" i="18"/>
  <c r="AC45" i="18"/>
  <c r="Y45" i="18"/>
  <c r="U45" i="18"/>
  <c r="Q45" i="18"/>
  <c r="AC44" i="18"/>
  <c r="Y44" i="18"/>
  <c r="U44" i="18"/>
  <c r="Q44" i="18"/>
  <c r="AC43" i="18"/>
  <c r="Y43" i="18"/>
  <c r="U43" i="18"/>
  <c r="Q43" i="18"/>
  <c r="AC42" i="18"/>
  <c r="Y42" i="18"/>
  <c r="U42" i="18"/>
  <c r="Q42" i="18"/>
  <c r="AC41" i="18"/>
  <c r="Y41" i="18"/>
  <c r="U41" i="18"/>
  <c r="Q41" i="18"/>
  <c r="AC40" i="18"/>
  <c r="Y40" i="18"/>
  <c r="U40" i="18"/>
  <c r="Q40" i="18"/>
  <c r="AC39" i="18"/>
  <c r="Y39" i="18"/>
  <c r="U39" i="18"/>
  <c r="Q39" i="18"/>
  <c r="AC38" i="18"/>
  <c r="Y38" i="18"/>
  <c r="U38" i="18"/>
  <c r="Q38" i="18"/>
  <c r="AC37" i="18"/>
  <c r="Y37" i="18"/>
  <c r="U37" i="18"/>
  <c r="Q37" i="18"/>
  <c r="AC36" i="18"/>
  <c r="Y36" i="18"/>
  <c r="U36" i="18"/>
  <c r="Q36" i="18"/>
  <c r="AC35" i="18"/>
  <c r="Y35" i="18"/>
  <c r="U35" i="18"/>
  <c r="Q35" i="18"/>
  <c r="AC34" i="18"/>
  <c r="Y34" i="18"/>
  <c r="U34" i="18"/>
  <c r="Q34" i="18"/>
  <c r="AC33" i="18"/>
  <c r="Y33" i="18"/>
  <c r="U33" i="18"/>
  <c r="Q33" i="18"/>
  <c r="AC32" i="18"/>
  <c r="Y32" i="18"/>
  <c r="U32" i="18"/>
  <c r="Q32" i="18"/>
  <c r="AC31" i="18"/>
  <c r="Y31" i="18"/>
  <c r="U31" i="18"/>
  <c r="Q31" i="18"/>
  <c r="AC30" i="18"/>
  <c r="Y30" i="18"/>
  <c r="U30" i="18"/>
  <c r="Q30" i="18"/>
  <c r="AC29" i="18"/>
  <c r="Y29" i="18"/>
  <c r="U29" i="18"/>
  <c r="Q29" i="18"/>
  <c r="AC28" i="18"/>
  <c r="Y28" i="18"/>
  <c r="U28" i="18"/>
  <c r="Q28" i="18"/>
  <c r="AC27" i="18"/>
  <c r="Y27" i="18"/>
  <c r="U27" i="18"/>
  <c r="Q27" i="18"/>
  <c r="AC26" i="18"/>
  <c r="Y26" i="18"/>
  <c r="U26" i="18"/>
  <c r="Q26" i="18"/>
  <c r="AC25" i="18"/>
  <c r="Y25" i="18"/>
  <c r="U25" i="18"/>
  <c r="Q25" i="18"/>
  <c r="T67" i="18"/>
  <c r="P67" i="18"/>
  <c r="AB66" i="18"/>
  <c r="X66" i="18"/>
  <c r="T66" i="18"/>
  <c r="P66" i="18"/>
  <c r="AB65" i="18"/>
  <c r="X65" i="18"/>
  <c r="T65" i="18"/>
  <c r="P65" i="18"/>
  <c r="AB64" i="18"/>
  <c r="X64" i="18"/>
  <c r="T64" i="18"/>
  <c r="P64" i="18"/>
  <c r="AB63" i="18"/>
  <c r="X63" i="18"/>
  <c r="T63" i="18"/>
  <c r="P63" i="18"/>
  <c r="AB62" i="18"/>
  <c r="X62" i="18"/>
  <c r="T62" i="18"/>
  <c r="P62" i="18"/>
  <c r="AB61" i="18"/>
  <c r="X61" i="18"/>
  <c r="T61" i="18"/>
  <c r="P61" i="18"/>
  <c r="AB60" i="18"/>
  <c r="X60" i="18"/>
  <c r="T60" i="18"/>
  <c r="P60" i="18"/>
  <c r="AB59" i="18"/>
  <c r="X59" i="18"/>
  <c r="T59" i="18"/>
  <c r="P59" i="18"/>
  <c r="AB58" i="18"/>
  <c r="X58" i="18"/>
  <c r="T58" i="18"/>
  <c r="P58" i="18"/>
  <c r="AB57" i="18"/>
  <c r="X57" i="18"/>
  <c r="T57" i="18"/>
  <c r="P57" i="18"/>
  <c r="AB56" i="18"/>
  <c r="X56" i="18"/>
  <c r="T56" i="18"/>
  <c r="P56" i="18"/>
  <c r="AB55" i="18"/>
  <c r="X55" i="18"/>
  <c r="T55" i="18"/>
  <c r="P55" i="18"/>
  <c r="AB54" i="18"/>
  <c r="X54" i="18"/>
  <c r="T54" i="18"/>
  <c r="P54" i="18"/>
  <c r="AB53" i="18"/>
  <c r="X53" i="18"/>
  <c r="T53" i="18"/>
  <c r="P53" i="18"/>
  <c r="AB52" i="18"/>
  <c r="X52" i="18"/>
  <c r="T52" i="18"/>
  <c r="P52" i="18"/>
  <c r="AB51" i="18"/>
  <c r="X51" i="18"/>
  <c r="T51" i="18"/>
  <c r="P51" i="18"/>
  <c r="AB50" i="18"/>
  <c r="X50" i="18"/>
  <c r="T50" i="18"/>
  <c r="P50" i="18"/>
  <c r="AB49" i="18"/>
  <c r="X49" i="18"/>
  <c r="T49" i="18"/>
  <c r="P49" i="18"/>
  <c r="AB48" i="18"/>
  <c r="X48" i="18"/>
  <c r="T48" i="18"/>
  <c r="P48" i="18"/>
  <c r="AB47" i="18"/>
  <c r="X47" i="18"/>
  <c r="T47" i="18"/>
  <c r="P47" i="18"/>
  <c r="AB46" i="18"/>
  <c r="X46" i="18"/>
  <c r="T46" i="18"/>
  <c r="P46" i="18"/>
  <c r="AB45" i="18"/>
  <c r="X45" i="18"/>
  <c r="T45" i="18"/>
  <c r="P45" i="18"/>
  <c r="AB44" i="18"/>
  <c r="X44" i="18"/>
  <c r="T44" i="18"/>
  <c r="P44" i="18"/>
  <c r="AB43" i="18"/>
  <c r="X43" i="18"/>
  <c r="T43" i="18"/>
  <c r="P43" i="18"/>
  <c r="AB42" i="18"/>
  <c r="X42" i="18"/>
  <c r="T42" i="18"/>
  <c r="P42" i="18"/>
  <c r="AB41" i="18"/>
  <c r="X41" i="18"/>
  <c r="T41" i="18"/>
  <c r="P41" i="18"/>
  <c r="AB40" i="18"/>
  <c r="X40" i="18"/>
  <c r="T40" i="18"/>
  <c r="P40" i="18"/>
  <c r="AB39" i="18"/>
  <c r="X39" i="18"/>
  <c r="T39" i="18"/>
  <c r="P39" i="18"/>
  <c r="AB38" i="18"/>
  <c r="X38" i="18"/>
  <c r="T38" i="18"/>
  <c r="P38" i="18"/>
  <c r="AB37" i="18"/>
  <c r="X37" i="18"/>
  <c r="T37" i="18"/>
  <c r="P37" i="18"/>
  <c r="AB36" i="18"/>
  <c r="X36" i="18"/>
  <c r="T36" i="18"/>
  <c r="P36" i="18"/>
  <c r="AB35" i="18"/>
  <c r="X35" i="18"/>
  <c r="T35" i="18"/>
  <c r="P35" i="18"/>
  <c r="B35" i="18" s="1"/>
  <c r="AB34" i="18"/>
  <c r="X34" i="18"/>
  <c r="T34" i="18"/>
  <c r="P34" i="18"/>
  <c r="B34" i="18" s="1"/>
  <c r="AB33" i="18"/>
  <c r="X33" i="18"/>
  <c r="T33" i="18"/>
  <c r="P33" i="18"/>
  <c r="B33" i="18" s="1"/>
  <c r="AB32" i="18"/>
  <c r="X32" i="18"/>
  <c r="T32" i="18"/>
  <c r="P32" i="18"/>
  <c r="B32" i="18" s="1"/>
  <c r="AB31" i="18"/>
  <c r="X31" i="18"/>
  <c r="T31" i="18"/>
  <c r="P31" i="18"/>
  <c r="AB30" i="18"/>
  <c r="X30" i="18"/>
  <c r="T30" i="18"/>
  <c r="P30" i="18"/>
  <c r="AB29" i="18"/>
  <c r="X29" i="18"/>
  <c r="T29" i="18"/>
  <c r="P29" i="18"/>
  <c r="AB28" i="18"/>
  <c r="X28" i="18"/>
  <c r="T28" i="18"/>
  <c r="P28" i="18"/>
  <c r="AB27" i="18"/>
  <c r="X27" i="18"/>
  <c r="T27" i="18"/>
  <c r="P27" i="18"/>
  <c r="AB26" i="18"/>
  <c r="X26" i="18"/>
  <c r="T26" i="18"/>
  <c r="P26" i="18"/>
  <c r="AB25" i="18"/>
  <c r="X25" i="18"/>
  <c r="T25" i="18"/>
  <c r="P25" i="18"/>
  <c r="AC24" i="18"/>
  <c r="X24" i="18"/>
  <c r="T24" i="18"/>
  <c r="P24" i="18"/>
  <c r="AB23" i="18"/>
  <c r="X23" i="18"/>
  <c r="T23" i="18"/>
  <c r="P23" i="18"/>
  <c r="AB22" i="18"/>
  <c r="X22" i="18"/>
  <c r="T22" i="18"/>
  <c r="P22" i="18"/>
  <c r="AB21" i="18"/>
  <c r="X21" i="18"/>
  <c r="T21" i="18"/>
  <c r="P21" i="18"/>
  <c r="AB20" i="18"/>
  <c r="X20" i="18"/>
  <c r="T20" i="18"/>
  <c r="P20" i="18"/>
  <c r="AB19" i="18"/>
  <c r="X19" i="18"/>
  <c r="T19" i="18"/>
  <c r="P19" i="18"/>
  <c r="AB18" i="18"/>
  <c r="X18" i="18"/>
  <c r="T18" i="18"/>
  <c r="P18" i="18"/>
  <c r="AB17" i="18"/>
  <c r="X17" i="18"/>
  <c r="T17" i="18"/>
  <c r="P17" i="18"/>
  <c r="AB16" i="18"/>
  <c r="X16" i="18"/>
  <c r="T16" i="18"/>
  <c r="P16" i="18"/>
  <c r="AB15" i="18"/>
  <c r="X15" i="18"/>
  <c r="T15" i="18"/>
  <c r="P15" i="18"/>
  <c r="AB14" i="18"/>
  <c r="X14" i="18"/>
  <c r="T14" i="18"/>
  <c r="P14" i="18"/>
  <c r="AB13" i="18"/>
  <c r="X13" i="18"/>
  <c r="T13" i="18"/>
  <c r="P13" i="18"/>
  <c r="AB12" i="18"/>
  <c r="X12" i="18"/>
  <c r="T12" i="18"/>
  <c r="P12" i="18"/>
  <c r="AB11" i="18"/>
  <c r="X11" i="18"/>
  <c r="T11" i="18"/>
  <c r="P11" i="18"/>
  <c r="AB10" i="18"/>
  <c r="X10" i="18"/>
  <c r="T10" i="18"/>
  <c r="P10" i="18"/>
  <c r="AB9" i="18"/>
  <c r="X9" i="18"/>
  <c r="T9" i="18"/>
  <c r="P9" i="18"/>
  <c r="S9" i="18"/>
  <c r="U24" i="18"/>
  <c r="Q23" i="18"/>
  <c r="U22" i="18"/>
  <c r="AC21" i="18"/>
  <c r="Q21" i="18"/>
  <c r="U20" i="18"/>
  <c r="U19" i="18"/>
  <c r="Y18" i="18"/>
  <c r="Q18" i="18"/>
  <c r="U17" i="18"/>
  <c r="Y16" i="18"/>
  <c r="AC15" i="18"/>
  <c r="U15" i="18"/>
  <c r="Y14" i="18"/>
  <c r="Y13" i="18"/>
  <c r="AC12" i="18"/>
  <c r="U12" i="18"/>
  <c r="Y11" i="18"/>
  <c r="AC10" i="18"/>
  <c r="AC9" i="18"/>
  <c r="Q9" i="18"/>
  <c r="AB24" i="18"/>
  <c r="W24" i="18"/>
  <c r="S24" i="18"/>
  <c r="AE23" i="18"/>
  <c r="AA23" i="18"/>
  <c r="W23" i="18"/>
  <c r="S23" i="18"/>
  <c r="AE22" i="18"/>
  <c r="AA22" i="18"/>
  <c r="W22" i="18"/>
  <c r="S22" i="18"/>
  <c r="AE21" i="18"/>
  <c r="AA21" i="18"/>
  <c r="W21" i="18"/>
  <c r="S21" i="18"/>
  <c r="AE20" i="18"/>
  <c r="AA20" i="18"/>
  <c r="W20" i="18"/>
  <c r="S20" i="18"/>
  <c r="AE19" i="18"/>
  <c r="AA19" i="18"/>
  <c r="W19" i="18"/>
  <c r="S19" i="18"/>
  <c r="AE18" i="18"/>
  <c r="AA18" i="18"/>
  <c r="W18" i="18"/>
  <c r="S18" i="18"/>
  <c r="AE17" i="18"/>
  <c r="AA17" i="18"/>
  <c r="W17" i="18"/>
  <c r="S17" i="18"/>
  <c r="AE16" i="18"/>
  <c r="AA16" i="18"/>
  <c r="W16" i="18"/>
  <c r="S16" i="18"/>
  <c r="AE15" i="18"/>
  <c r="AA15" i="18"/>
  <c r="W15" i="18"/>
  <c r="S15" i="18"/>
  <c r="AE14" i="18"/>
  <c r="AA14" i="18"/>
  <c r="W14" i="18"/>
  <c r="S14" i="18"/>
  <c r="AE13" i="18"/>
  <c r="AA13" i="18"/>
  <c r="W13" i="18"/>
  <c r="S13" i="18"/>
  <c r="AE12" i="18"/>
  <c r="AA12" i="18"/>
  <c r="W12" i="18"/>
  <c r="S12" i="18"/>
  <c r="AE11" i="18"/>
  <c r="AA11" i="18"/>
  <c r="W11" i="18"/>
  <c r="S11" i="18"/>
  <c r="AE10" i="18"/>
  <c r="AA10" i="18"/>
  <c r="W10" i="18"/>
  <c r="S10" i="18"/>
  <c r="AE9" i="18"/>
  <c r="W9" i="18"/>
  <c r="Y24" i="18"/>
  <c r="AC23" i="18"/>
  <c r="U23" i="18"/>
  <c r="AC22" i="18"/>
  <c r="Q22" i="18"/>
  <c r="U21" i="18"/>
  <c r="Y20" i="18"/>
  <c r="AC19" i="18"/>
  <c r="AC18" i="18"/>
  <c r="AC17" i="18"/>
  <c r="Q17" i="18"/>
  <c r="U16" i="18"/>
  <c r="Y15" i="18"/>
  <c r="AC14" i="18"/>
  <c r="Q14" i="18"/>
  <c r="U13" i="18"/>
  <c r="Y12" i="18"/>
  <c r="AC11" i="18"/>
  <c r="Q11" i="18"/>
  <c r="U10" i="18"/>
  <c r="Y9" i="18"/>
  <c r="AA24" i="18"/>
  <c r="V24" i="18"/>
  <c r="R24" i="18"/>
  <c r="AD23" i="18"/>
  <c r="Z23" i="18"/>
  <c r="V23" i="18"/>
  <c r="R23" i="18"/>
  <c r="AD22" i="18"/>
  <c r="Z22" i="18"/>
  <c r="V22" i="18"/>
  <c r="R22" i="18"/>
  <c r="AD21" i="18"/>
  <c r="Z21" i="18"/>
  <c r="V21" i="18"/>
  <c r="R21" i="18"/>
  <c r="AD20" i="18"/>
  <c r="Z20" i="18"/>
  <c r="V20" i="18"/>
  <c r="R20" i="18"/>
  <c r="AD19" i="18"/>
  <c r="Z19" i="18"/>
  <c r="V19" i="18"/>
  <c r="R19" i="18"/>
  <c r="AD18" i="18"/>
  <c r="Z18" i="18"/>
  <c r="V18" i="18"/>
  <c r="R18" i="18"/>
  <c r="AD17" i="18"/>
  <c r="Z17" i="18"/>
  <c r="V17" i="18"/>
  <c r="R17" i="18"/>
  <c r="AD16" i="18"/>
  <c r="Z16" i="18"/>
  <c r="V16" i="18"/>
  <c r="R16" i="18"/>
  <c r="AD15" i="18"/>
  <c r="Z15" i="18"/>
  <c r="V15" i="18"/>
  <c r="R15" i="18"/>
  <c r="AD14" i="18"/>
  <c r="Z14" i="18"/>
  <c r="V14" i="18"/>
  <c r="R14" i="18"/>
  <c r="AD13" i="18"/>
  <c r="Z13" i="18"/>
  <c r="V13" i="18"/>
  <c r="R13" i="18"/>
  <c r="AD12" i="18"/>
  <c r="Z12" i="18"/>
  <c r="V12" i="18"/>
  <c r="R12" i="18"/>
  <c r="AD11" i="18"/>
  <c r="Z11" i="18"/>
  <c r="V11" i="18"/>
  <c r="R11" i="18"/>
  <c r="AD10" i="18"/>
  <c r="Z10" i="18"/>
  <c r="V10" i="18"/>
  <c r="R10" i="18"/>
  <c r="AD9" i="18"/>
  <c r="Z9" i="18"/>
  <c r="V9" i="18"/>
  <c r="R9" i="18"/>
  <c r="Q24" i="18"/>
  <c r="Y23" i="18"/>
  <c r="Y22" i="18"/>
  <c r="Y21" i="18"/>
  <c r="AC20" i="18"/>
  <c r="Q20" i="18"/>
  <c r="Y19" i="18"/>
  <c r="Q19" i="18"/>
  <c r="U18" i="18"/>
  <c r="Y17" i="18"/>
  <c r="AC16" i="18"/>
  <c r="Q16" i="18"/>
  <c r="Q15" i="18"/>
  <c r="U14" i="18"/>
  <c r="AC13" i="18"/>
  <c r="Q13" i="18"/>
  <c r="Q12" i="18"/>
  <c r="U11" i="18"/>
  <c r="Y10" i="18"/>
  <c r="Q10" i="18"/>
  <c r="U9" i="18"/>
  <c r="F166" i="3"/>
  <c r="D166" i="3"/>
  <c r="F165" i="3"/>
  <c r="D165" i="3"/>
  <c r="F164" i="3"/>
  <c r="D164" i="3"/>
  <c r="F163" i="3"/>
  <c r="D163" i="3"/>
  <c r="F162" i="3"/>
  <c r="D162" i="3"/>
  <c r="F161" i="3"/>
  <c r="D161" i="3"/>
  <c r="F160" i="3"/>
  <c r="D160" i="3"/>
  <c r="F159" i="3"/>
  <c r="D159" i="3"/>
  <c r="F158" i="3"/>
  <c r="D158" i="3"/>
  <c r="F157" i="3"/>
  <c r="D157" i="3"/>
  <c r="F156" i="3"/>
  <c r="D156" i="3"/>
  <c r="F155" i="3"/>
  <c r="D155" i="3"/>
  <c r="F154" i="3"/>
  <c r="D154" i="3"/>
  <c r="F153" i="3"/>
  <c r="D153" i="3"/>
  <c r="F152" i="3"/>
  <c r="D152" i="3"/>
  <c r="F151" i="3"/>
  <c r="D151" i="3"/>
  <c r="F150" i="3"/>
  <c r="D150" i="3"/>
  <c r="F149" i="3"/>
  <c r="D149" i="3"/>
  <c r="F148" i="3"/>
  <c r="D148" i="3"/>
  <c r="F147" i="3"/>
  <c r="D147" i="3"/>
  <c r="F146" i="3"/>
  <c r="D146" i="3"/>
  <c r="F145" i="3"/>
  <c r="D145" i="3"/>
  <c r="F144" i="3"/>
  <c r="D144" i="3"/>
  <c r="F143" i="3"/>
  <c r="D143" i="3"/>
  <c r="F142" i="3"/>
  <c r="D142" i="3"/>
  <c r="F141" i="3"/>
  <c r="D141" i="3"/>
  <c r="F140" i="3"/>
  <c r="D140" i="3"/>
  <c r="F139" i="3"/>
  <c r="D139" i="3"/>
  <c r="F138" i="3"/>
  <c r="D138" i="3"/>
  <c r="F137" i="3"/>
  <c r="D137" i="3"/>
  <c r="F136" i="3"/>
  <c r="D136" i="3"/>
  <c r="F135" i="3"/>
  <c r="D135" i="3"/>
  <c r="F134" i="3"/>
  <c r="D134" i="3"/>
  <c r="F133" i="3"/>
  <c r="D133" i="3"/>
  <c r="F132" i="3"/>
  <c r="D132" i="3"/>
  <c r="F131" i="3"/>
  <c r="D131" i="3"/>
  <c r="F130" i="3"/>
  <c r="D130" i="3"/>
  <c r="F129" i="3"/>
  <c r="D129" i="3"/>
  <c r="F128" i="3"/>
  <c r="D128" i="3"/>
  <c r="F127" i="3"/>
  <c r="D127" i="3"/>
  <c r="F126" i="3"/>
  <c r="D126" i="3"/>
  <c r="F125" i="3"/>
  <c r="D125" i="3"/>
  <c r="F124" i="3"/>
  <c r="D124" i="3"/>
  <c r="F123" i="3"/>
  <c r="D123" i="3"/>
  <c r="F122" i="3"/>
  <c r="D122" i="3"/>
  <c r="F121" i="3"/>
  <c r="D121" i="3"/>
  <c r="F120" i="3"/>
  <c r="D120" i="3"/>
  <c r="F119" i="3"/>
  <c r="D119" i="3"/>
  <c r="F118" i="3"/>
  <c r="D118" i="3"/>
  <c r="F117" i="3"/>
  <c r="D117" i="3"/>
  <c r="F116" i="3"/>
  <c r="D116" i="3"/>
  <c r="F115" i="3"/>
  <c r="D115" i="3"/>
  <c r="F114" i="3"/>
  <c r="D114" i="3"/>
  <c r="F113" i="3"/>
  <c r="D113" i="3"/>
  <c r="F112" i="3"/>
  <c r="D112" i="3"/>
  <c r="F111" i="3"/>
  <c r="D111" i="3"/>
  <c r="F110" i="3"/>
  <c r="D110" i="3"/>
  <c r="F109" i="3"/>
  <c r="D109" i="3"/>
  <c r="F108" i="3"/>
  <c r="D108" i="3"/>
  <c r="F107" i="3"/>
  <c r="D107" i="3"/>
  <c r="F106" i="3"/>
  <c r="D106" i="3"/>
  <c r="F105" i="3"/>
  <c r="D105" i="3"/>
  <c r="F104" i="3"/>
  <c r="D104" i="3"/>
  <c r="F103" i="3"/>
  <c r="D103" i="3"/>
  <c r="F102" i="3"/>
  <c r="D102" i="3"/>
  <c r="F101" i="3"/>
  <c r="D101" i="3"/>
  <c r="F100" i="3"/>
  <c r="D100" i="3"/>
  <c r="F99" i="3"/>
  <c r="D99" i="3"/>
  <c r="F98" i="3"/>
  <c r="D98" i="3"/>
  <c r="F97" i="3"/>
  <c r="D97" i="3"/>
  <c r="F96" i="3"/>
  <c r="D96" i="3"/>
  <c r="F95" i="3"/>
  <c r="D95" i="3"/>
  <c r="F94" i="3"/>
  <c r="D94" i="3"/>
  <c r="F93" i="3"/>
  <c r="D93" i="3"/>
  <c r="F92" i="3"/>
  <c r="D92" i="3"/>
  <c r="F91" i="3"/>
  <c r="D91" i="3"/>
  <c r="F90" i="3"/>
  <c r="D90" i="3"/>
  <c r="F89" i="3"/>
  <c r="D89" i="3"/>
  <c r="J85" i="3" l="1"/>
  <c r="I85" i="3"/>
  <c r="J82" i="3"/>
  <c r="I82" i="3"/>
  <c r="J81" i="3"/>
  <c r="I81" i="3"/>
  <c r="J80" i="3"/>
  <c r="I80" i="3"/>
  <c r="J79" i="3"/>
  <c r="I79" i="3"/>
  <c r="J78" i="3"/>
  <c r="I78" i="3"/>
  <c r="J77" i="3"/>
  <c r="I77" i="3"/>
  <c r="J76" i="3"/>
  <c r="I76" i="3"/>
  <c r="J75" i="3"/>
  <c r="I75" i="3"/>
  <c r="J74" i="3"/>
  <c r="I74" i="3"/>
  <c r="J73" i="3"/>
  <c r="I73" i="3"/>
  <c r="J72" i="3"/>
  <c r="I72" i="3"/>
  <c r="J71" i="3"/>
  <c r="I71" i="3"/>
  <c r="J70" i="3"/>
  <c r="I70" i="3"/>
  <c r="J69" i="3"/>
  <c r="I69" i="3"/>
  <c r="J68" i="3"/>
  <c r="I68" i="3"/>
  <c r="J67" i="3"/>
  <c r="I67" i="3"/>
  <c r="J66" i="3"/>
  <c r="I66" i="3"/>
  <c r="J65" i="3"/>
  <c r="I65" i="3"/>
  <c r="J64" i="3"/>
  <c r="I64" i="3"/>
  <c r="J63" i="3"/>
  <c r="I63" i="3"/>
  <c r="J62" i="3"/>
  <c r="I62" i="3"/>
  <c r="J61" i="3"/>
  <c r="I61" i="3"/>
  <c r="J60" i="3"/>
  <c r="I60" i="3"/>
  <c r="J59" i="3"/>
  <c r="I59" i="3"/>
  <c r="J58" i="3"/>
  <c r="I58" i="3"/>
  <c r="J57" i="3"/>
  <c r="I57" i="3"/>
  <c r="J56" i="3"/>
  <c r="I56" i="3"/>
  <c r="J55" i="3"/>
  <c r="I55" i="3"/>
  <c r="J54" i="3"/>
  <c r="I54" i="3"/>
  <c r="J53" i="3"/>
  <c r="I53" i="3"/>
  <c r="J52" i="3"/>
  <c r="I52" i="3"/>
  <c r="J51" i="3"/>
  <c r="I51" i="3"/>
  <c r="J50" i="3"/>
  <c r="I50" i="3"/>
  <c r="J49" i="3"/>
  <c r="I49" i="3"/>
  <c r="J48" i="3"/>
  <c r="I48" i="3"/>
  <c r="J47" i="3"/>
  <c r="I47" i="3"/>
  <c r="J46" i="3"/>
  <c r="I46" i="3"/>
  <c r="J45" i="3"/>
  <c r="I45" i="3"/>
  <c r="J44" i="3"/>
  <c r="I44" i="3"/>
  <c r="M43" i="3"/>
  <c r="L43" i="3"/>
  <c r="J43" i="3"/>
  <c r="I43" i="3"/>
  <c r="M42" i="3"/>
  <c r="L42" i="3"/>
  <c r="J42" i="3"/>
  <c r="I42" i="3"/>
  <c r="M41" i="3"/>
  <c r="L41" i="3"/>
  <c r="J41" i="3"/>
  <c r="I41" i="3"/>
  <c r="M40" i="3"/>
  <c r="L40" i="3"/>
  <c r="J40" i="3"/>
  <c r="I40" i="3"/>
  <c r="M39" i="3"/>
  <c r="L39" i="3"/>
  <c r="J39" i="3"/>
  <c r="I39" i="3"/>
  <c r="M38" i="3"/>
  <c r="L38" i="3"/>
  <c r="J38" i="3"/>
  <c r="I38" i="3"/>
  <c r="M37" i="3"/>
  <c r="L37" i="3"/>
  <c r="J37" i="3"/>
  <c r="I37" i="3"/>
  <c r="M36" i="3"/>
  <c r="L36" i="3"/>
  <c r="J36" i="3"/>
  <c r="I36" i="3"/>
  <c r="M35" i="3"/>
  <c r="L35" i="3"/>
  <c r="J35" i="3"/>
  <c r="I35" i="3"/>
  <c r="M34" i="3"/>
  <c r="L34" i="3"/>
  <c r="J34" i="3"/>
  <c r="I34" i="3"/>
  <c r="M33" i="3"/>
  <c r="L33" i="3"/>
  <c r="J33" i="3"/>
  <c r="I33" i="3"/>
  <c r="M32" i="3"/>
  <c r="L32" i="3"/>
  <c r="J32" i="3"/>
  <c r="I32" i="3"/>
  <c r="M31" i="3"/>
  <c r="L31" i="3"/>
  <c r="J31" i="3"/>
  <c r="I31" i="3"/>
  <c r="M30" i="3"/>
  <c r="L30" i="3"/>
  <c r="J30" i="3"/>
  <c r="I30" i="3"/>
  <c r="M29" i="3"/>
  <c r="L29" i="3"/>
  <c r="J29" i="3"/>
  <c r="I29" i="3"/>
  <c r="M28" i="3"/>
  <c r="L28" i="3"/>
  <c r="J28" i="3"/>
  <c r="I28" i="3"/>
  <c r="M27" i="3"/>
  <c r="L27" i="3"/>
  <c r="J27" i="3"/>
  <c r="I27" i="3"/>
  <c r="M26" i="3"/>
  <c r="L26" i="3"/>
  <c r="J26" i="3"/>
  <c r="I26" i="3"/>
  <c r="M25" i="3"/>
  <c r="L25" i="3"/>
  <c r="J25" i="3"/>
  <c r="I25" i="3"/>
  <c r="M24" i="3"/>
  <c r="L24" i="3"/>
  <c r="J24" i="3"/>
  <c r="I24" i="3"/>
  <c r="M23" i="3"/>
  <c r="L23" i="3"/>
  <c r="J23" i="3"/>
  <c r="I23" i="3"/>
  <c r="M22" i="3"/>
  <c r="L22" i="3"/>
  <c r="J22" i="3"/>
  <c r="I22" i="3"/>
  <c r="M21" i="3"/>
  <c r="L21" i="3"/>
  <c r="J21" i="3"/>
  <c r="I21" i="3"/>
  <c r="M20" i="3"/>
  <c r="L20" i="3"/>
  <c r="J20" i="3"/>
  <c r="I20" i="3"/>
  <c r="M19" i="3"/>
  <c r="L19" i="3"/>
  <c r="J19" i="3"/>
  <c r="I19" i="3"/>
  <c r="M18" i="3"/>
  <c r="L18" i="3"/>
  <c r="J18" i="3"/>
  <c r="I18" i="3"/>
  <c r="M17" i="3"/>
  <c r="L17" i="3"/>
  <c r="J17" i="3"/>
  <c r="I17" i="3"/>
  <c r="M16" i="3"/>
  <c r="L16" i="3"/>
  <c r="J16" i="3"/>
  <c r="I16" i="3"/>
  <c r="M15" i="3"/>
  <c r="L15" i="3"/>
  <c r="J15" i="3"/>
  <c r="I15" i="3"/>
  <c r="M14" i="3"/>
  <c r="L14" i="3"/>
  <c r="J14" i="3"/>
  <c r="I14" i="3"/>
  <c r="M13" i="3"/>
  <c r="L13" i="3"/>
  <c r="J13" i="3"/>
  <c r="I13" i="3"/>
  <c r="M12" i="3"/>
  <c r="L12" i="3"/>
  <c r="J12" i="3"/>
  <c r="I12" i="3"/>
  <c r="M11" i="3"/>
  <c r="L11" i="3"/>
  <c r="J11" i="3"/>
  <c r="I11" i="3"/>
  <c r="M10" i="3"/>
  <c r="L10" i="3"/>
  <c r="J10" i="3"/>
  <c r="I10" i="3"/>
  <c r="M9" i="3"/>
  <c r="L9" i="3"/>
  <c r="J9" i="3"/>
  <c r="I9" i="3"/>
  <c r="M8" i="3"/>
  <c r="L8" i="3"/>
  <c r="J8" i="3"/>
  <c r="I8" i="3"/>
  <c r="M7" i="3"/>
  <c r="L7" i="3"/>
  <c r="J7" i="3"/>
  <c r="I7" i="3"/>
  <c r="M6" i="3"/>
  <c r="L6" i="3"/>
  <c r="J6" i="3"/>
  <c r="I6" i="3"/>
  <c r="M5" i="3"/>
  <c r="L5" i="3"/>
  <c r="J5" i="3"/>
  <c r="I5" i="3"/>
  <c r="Q143" i="15" l="1"/>
  <c r="O143" i="15"/>
  <c r="M143" i="15"/>
  <c r="Q142" i="15"/>
  <c r="O142" i="15"/>
  <c r="M142" i="15"/>
  <c r="Q141" i="15"/>
  <c r="O141" i="15"/>
  <c r="M141" i="15"/>
  <c r="Q140" i="15"/>
  <c r="O140" i="15"/>
  <c r="M140" i="15"/>
  <c r="Q139" i="15"/>
  <c r="O139" i="15"/>
  <c r="M139" i="15"/>
  <c r="Q138" i="15"/>
  <c r="O138" i="15"/>
  <c r="M138" i="15"/>
  <c r="Q137" i="15"/>
  <c r="O137" i="15"/>
  <c r="M137" i="15"/>
  <c r="Q136" i="15"/>
  <c r="O136" i="15"/>
  <c r="M136" i="15"/>
  <c r="Q135" i="15"/>
  <c r="O135" i="15"/>
  <c r="M135" i="15"/>
  <c r="Q134" i="15"/>
  <c r="O134" i="15"/>
  <c r="M134" i="15"/>
  <c r="Q133" i="15"/>
  <c r="O133" i="15"/>
  <c r="M133" i="15"/>
  <c r="Q132" i="15"/>
  <c r="O132" i="15"/>
  <c r="M132" i="15"/>
  <c r="Q131" i="15"/>
  <c r="O131" i="15"/>
  <c r="M131" i="15"/>
  <c r="Q130" i="15"/>
  <c r="O130" i="15"/>
  <c r="M130" i="15"/>
  <c r="Q129" i="15"/>
  <c r="O129" i="15"/>
  <c r="M129" i="15"/>
  <c r="Q128" i="15"/>
  <c r="O128" i="15"/>
  <c r="M128" i="15"/>
  <c r="Q127" i="15"/>
  <c r="O127" i="15"/>
  <c r="M127" i="15"/>
  <c r="Q126" i="15"/>
  <c r="O126" i="15"/>
  <c r="M126" i="15"/>
  <c r="Q125" i="15"/>
  <c r="O125" i="15"/>
  <c r="M125" i="15"/>
  <c r="Q124" i="15"/>
  <c r="O124" i="15"/>
  <c r="M124" i="15"/>
  <c r="Q123" i="15"/>
  <c r="O123" i="15"/>
  <c r="M123" i="15"/>
  <c r="Q122" i="15"/>
  <c r="O122" i="15"/>
  <c r="M122" i="15"/>
  <c r="Q121" i="15"/>
  <c r="O121" i="15"/>
  <c r="M121" i="15"/>
  <c r="Q120" i="15"/>
  <c r="O120" i="15"/>
  <c r="M120" i="15"/>
  <c r="Q119" i="15"/>
  <c r="O119" i="15"/>
  <c r="M119" i="15"/>
  <c r="Q118" i="15"/>
  <c r="O118" i="15"/>
  <c r="M118" i="15"/>
  <c r="Q117" i="15"/>
  <c r="O117" i="15"/>
  <c r="M117" i="15"/>
  <c r="Q116" i="15"/>
  <c r="O116" i="15"/>
  <c r="M116" i="15"/>
  <c r="Q115" i="15"/>
  <c r="O115" i="15"/>
  <c r="M115" i="15"/>
  <c r="Q114" i="15"/>
  <c r="O114" i="15"/>
  <c r="M114" i="15"/>
  <c r="Q113" i="15"/>
  <c r="O113" i="15"/>
  <c r="M113" i="15"/>
  <c r="Q112" i="15"/>
  <c r="O112" i="15"/>
  <c r="M112" i="15"/>
  <c r="Q111" i="15"/>
  <c r="O111" i="15"/>
  <c r="M111" i="15"/>
  <c r="Q110" i="15"/>
  <c r="O110" i="15"/>
  <c r="M110" i="15"/>
  <c r="Q109" i="15"/>
  <c r="O109" i="15"/>
  <c r="M109" i="15"/>
  <c r="Q108" i="15"/>
  <c r="O108" i="15"/>
  <c r="M108" i="15"/>
  <c r="Q107" i="15"/>
  <c r="O107" i="15"/>
  <c r="M107" i="15"/>
  <c r="Q106" i="15"/>
  <c r="O106" i="15"/>
  <c r="M106" i="15"/>
  <c r="Q105" i="15"/>
  <c r="O105" i="15"/>
  <c r="M105" i="15"/>
  <c r="T12" i="5" l="1"/>
  <c r="Q12" i="5"/>
  <c r="AA3" i="5" l="1"/>
  <c r="AC194" i="5" l="1"/>
  <c r="T194" i="5" s="1"/>
  <c r="AA187" i="5"/>
  <c r="Q187" i="5" s="1"/>
  <c r="AC185" i="5"/>
  <c r="AA182" i="5"/>
  <c r="Q182" i="5" s="1"/>
  <c r="AC178" i="5"/>
  <c r="AA175" i="5"/>
  <c r="Q175" i="5" s="1"/>
  <c r="AA170" i="5"/>
  <c r="Q170" i="5" s="1"/>
  <c r="AC163" i="5"/>
  <c r="T163" i="5" s="1"/>
  <c r="AC160" i="5"/>
  <c r="T160" i="5" s="1"/>
  <c r="AA159" i="5"/>
  <c r="AA149" i="5"/>
  <c r="Q149" i="5" s="1"/>
  <c r="AC147" i="5"/>
  <c r="T147" i="5" s="1"/>
  <c r="AA144" i="5"/>
  <c r="Q144" i="5" s="1"/>
  <c r="AC118" i="5"/>
  <c r="T118" i="5" s="1"/>
  <c r="AC113" i="5"/>
  <c r="T113" i="5" s="1"/>
  <c r="AC111" i="5"/>
  <c r="T111" i="5" s="1"/>
  <c r="AA109" i="5"/>
  <c r="Q109" i="5" s="1"/>
  <c r="AC107" i="5"/>
  <c r="T107" i="5" s="1"/>
  <c r="AA106" i="5"/>
  <c r="Q106" i="5" s="1"/>
  <c r="AA104" i="5"/>
  <c r="Q104" i="5" s="1"/>
  <c r="AC98" i="5"/>
  <c r="T98" i="5" s="1"/>
  <c r="AC97" i="5"/>
  <c r="T97" i="5" s="1"/>
  <c r="AC91" i="5"/>
  <c r="T91" i="5" s="1"/>
  <c r="AA87" i="5"/>
  <c r="Q87" i="5" s="1"/>
  <c r="AA86" i="5"/>
  <c r="Q86" i="5" s="1"/>
  <c r="AA194" i="5"/>
  <c r="Q194" i="5" s="1"/>
  <c r="AC191" i="5"/>
  <c r="T191" i="5" s="1"/>
  <c r="AC189" i="5"/>
  <c r="AA185" i="5"/>
  <c r="Q185" i="5" s="1"/>
  <c r="AC180" i="5"/>
  <c r="T180" i="5" s="1"/>
  <c r="AC179" i="5"/>
  <c r="T179" i="5" s="1"/>
  <c r="AA178" i="5"/>
  <c r="Q178" i="5" s="1"/>
  <c r="AC176" i="5"/>
  <c r="T176" i="5" s="1"/>
  <c r="AC173" i="5"/>
  <c r="T173" i="5" s="1"/>
  <c r="AC164" i="5"/>
  <c r="T164" i="5" s="1"/>
  <c r="AA163" i="5"/>
  <c r="Q163" i="5" s="1"/>
  <c r="AC161" i="5"/>
  <c r="T161" i="5" s="1"/>
  <c r="AA160" i="5"/>
  <c r="Q160" i="5" s="1"/>
  <c r="AC155" i="5"/>
  <c r="T155" i="5" s="1"/>
  <c r="AC154" i="5"/>
  <c r="T154" i="5" s="1"/>
  <c r="AA147" i="5"/>
  <c r="Q147" i="5" s="1"/>
  <c r="AC129" i="5"/>
  <c r="AC123" i="5"/>
  <c r="AC119" i="5"/>
  <c r="T119" i="5" s="1"/>
  <c r="AC115" i="5"/>
  <c r="AA111" i="5"/>
  <c r="Q111" i="5" s="1"/>
  <c r="AA107" i="5"/>
  <c r="Q107" i="5" s="1"/>
  <c r="AC102" i="5"/>
  <c r="T102" i="5" s="1"/>
  <c r="AA98" i="5"/>
  <c r="Q98" i="5" s="1"/>
  <c r="AA97" i="5"/>
  <c r="Q97" i="5" s="1"/>
  <c r="AC90" i="5"/>
  <c r="T90" i="5" s="1"/>
  <c r="AC190" i="5"/>
  <c r="T190" i="5" s="1"/>
  <c r="AC186" i="5"/>
  <c r="T186" i="5" s="1"/>
  <c r="AC181" i="5"/>
  <c r="T181" i="5" s="1"/>
  <c r="AA179" i="5"/>
  <c r="Q179" i="5" s="1"/>
  <c r="AA171" i="5"/>
  <c r="Q171" i="5" s="1"/>
  <c r="AA169" i="5"/>
  <c r="Q169" i="5" s="1"/>
  <c r="AC165" i="5"/>
  <c r="T165" i="5" s="1"/>
  <c r="AA162" i="5"/>
  <c r="Q162" i="5" s="1"/>
  <c r="AC159" i="5"/>
  <c r="AA155" i="5"/>
  <c r="Q155" i="5" s="1"/>
  <c r="AA150" i="5"/>
  <c r="Q150" i="5" s="1"/>
  <c r="AC143" i="5"/>
  <c r="AC140" i="5"/>
  <c r="T140" i="5" s="1"/>
  <c r="AC110" i="5"/>
  <c r="T110" i="5" s="1"/>
  <c r="AA108" i="5"/>
  <c r="Q108" i="5" s="1"/>
  <c r="AC104" i="5"/>
  <c r="T104" i="5" s="1"/>
  <c r="AC95" i="5"/>
  <c r="T95" i="5" s="1"/>
  <c r="AC92" i="5"/>
  <c r="T92" i="5" s="1"/>
  <c r="AC85" i="5"/>
  <c r="T85" i="5" s="1"/>
  <c r="AC80" i="5"/>
  <c r="AC75" i="5"/>
  <c r="T75" i="5" s="1"/>
  <c r="AA73" i="5"/>
  <c r="Q73" i="5" s="1"/>
  <c r="AA71" i="5"/>
  <c r="Q71" i="5" s="1"/>
  <c r="AA67" i="5"/>
  <c r="Q67" i="5" s="1"/>
  <c r="AC193" i="5"/>
  <c r="AA189" i="5"/>
  <c r="Q189" i="5" s="1"/>
  <c r="AC167" i="5"/>
  <c r="T167" i="5" s="1"/>
  <c r="AA164" i="5"/>
  <c r="Q164" i="5" s="1"/>
  <c r="AA161" i="5"/>
  <c r="Q161" i="5" s="1"/>
  <c r="AC156" i="5"/>
  <c r="T156" i="5" s="1"/>
  <c r="AC152" i="5"/>
  <c r="T152" i="5" s="1"/>
  <c r="AA143" i="5"/>
  <c r="Q143" i="5" s="1"/>
  <c r="AA140" i="5"/>
  <c r="Q140" i="5" s="1"/>
  <c r="AC116" i="5"/>
  <c r="T116" i="5" s="1"/>
  <c r="AC103" i="5"/>
  <c r="T103" i="5" s="1"/>
  <c r="AA92" i="5"/>
  <c r="Q92" i="5" s="1"/>
  <c r="AC87" i="5"/>
  <c r="T87" i="5" s="1"/>
  <c r="AA85" i="5"/>
  <c r="Q85" i="5" s="1"/>
  <c r="AC83" i="5"/>
  <c r="T83" i="5" s="1"/>
  <c r="AC81" i="5"/>
  <c r="T81" i="5" s="1"/>
  <c r="AA80" i="5"/>
  <c r="Q80" i="5" s="1"/>
  <c r="AC77" i="5"/>
  <c r="T77" i="5" s="1"/>
  <c r="AC65" i="5"/>
  <c r="T65" i="5" s="1"/>
  <c r="AC55" i="5"/>
  <c r="T55" i="5" s="1"/>
  <c r="AA50" i="5"/>
  <c r="Q50" i="5" s="1"/>
  <c r="AC42" i="5"/>
  <c r="T42" i="5" s="1"/>
  <c r="AA38" i="5"/>
  <c r="Q38" i="5" s="1"/>
  <c r="AC187" i="5"/>
  <c r="T187" i="5" s="1"/>
  <c r="AC182" i="5"/>
  <c r="T182" i="5" s="1"/>
  <c r="AC175" i="5"/>
  <c r="T175" i="5" s="1"/>
  <c r="AC170" i="5"/>
  <c r="T170" i="5" s="1"/>
  <c r="AC153" i="5"/>
  <c r="T153" i="5" s="1"/>
  <c r="AC141" i="5"/>
  <c r="AC124" i="5"/>
  <c r="AA115" i="5"/>
  <c r="AC109" i="5"/>
  <c r="T109" i="5" s="1"/>
  <c r="AC106" i="5"/>
  <c r="AA103" i="5"/>
  <c r="Q103" i="5" s="1"/>
  <c r="AC94" i="5"/>
  <c r="AC88" i="5"/>
  <c r="T88" i="5" s="1"/>
  <c r="AC84" i="5"/>
  <c r="T84" i="5" s="1"/>
  <c r="AA83" i="5"/>
  <c r="Q83" i="5" s="1"/>
  <c r="AA81" i="5"/>
  <c r="Q81" i="5" s="1"/>
  <c r="AC70" i="5"/>
  <c r="T70" i="5" s="1"/>
  <c r="AC66" i="5"/>
  <c r="T66" i="5" s="1"/>
  <c r="AA65" i="5"/>
  <c r="Q65" i="5" s="1"/>
  <c r="AC57" i="5"/>
  <c r="T57" i="5" s="1"/>
  <c r="AA55" i="5"/>
  <c r="Q55" i="5" s="1"/>
  <c r="AA42" i="5"/>
  <c r="Q42" i="5" s="1"/>
  <c r="AC169" i="5"/>
  <c r="AA153" i="5"/>
  <c r="Q153" i="5" s="1"/>
  <c r="AC144" i="5"/>
  <c r="T144" i="5" s="1"/>
  <c r="AC108" i="5"/>
  <c r="T108" i="5" s="1"/>
  <c r="AA66" i="5"/>
  <c r="Q66" i="5" s="1"/>
  <c r="AC149" i="5"/>
  <c r="AA141" i="5"/>
  <c r="Q141" i="5" s="1"/>
  <c r="AC86" i="5"/>
  <c r="T86" i="5" s="1"/>
  <c r="AA70" i="5"/>
  <c r="Q70" i="5" s="1"/>
  <c r="AC61" i="5"/>
  <c r="T61" i="5" s="1"/>
  <c r="AC56" i="5"/>
  <c r="T56" i="5" s="1"/>
  <c r="AC43" i="5"/>
  <c r="T43" i="5" s="1"/>
  <c r="AA37" i="5"/>
  <c r="Q37" i="5" s="1"/>
  <c r="AC162" i="5"/>
  <c r="T162" i="5" s="1"/>
  <c r="AC157" i="5"/>
  <c r="T157" i="5" s="1"/>
  <c r="AA154" i="5"/>
  <c r="Q154" i="5" s="1"/>
  <c r="AA102" i="5"/>
  <c r="Q102" i="5" s="1"/>
  <c r="AC96" i="5"/>
  <c r="T96" i="5" s="1"/>
  <c r="AA84" i="5"/>
  <c r="Q84" i="5" s="1"/>
  <c r="AC76" i="5"/>
  <c r="T76" i="5" s="1"/>
  <c r="AA61" i="5"/>
  <c r="Q61" i="5" s="1"/>
  <c r="AC171" i="5"/>
  <c r="T171" i="5" s="1"/>
  <c r="AC150" i="5"/>
  <c r="T150" i="5" s="1"/>
  <c r="AC73" i="5"/>
  <c r="T73" i="5" s="1"/>
  <c r="AC67" i="5"/>
  <c r="T67" i="5" s="1"/>
  <c r="AC60" i="5"/>
  <c r="AA51" i="5"/>
  <c r="Q51" i="5" s="1"/>
  <c r="AA88" i="5"/>
  <c r="Q88" i="5" s="1"/>
  <c r="AC71" i="5"/>
  <c r="T71" i="5" s="1"/>
  <c r="AA60" i="5"/>
  <c r="Q60" i="5" s="1"/>
  <c r="AA57" i="5"/>
  <c r="Q57" i="5" s="1"/>
  <c r="AA44" i="5"/>
  <c r="Q44" i="5" s="1"/>
  <c r="AC37" i="5"/>
  <c r="T37" i="5" s="1"/>
  <c r="AA90" i="5"/>
  <c r="Q90" i="5" s="1"/>
  <c r="AA39" i="5"/>
  <c r="Q39" i="5" s="1"/>
  <c r="AA110" i="5"/>
  <c r="Q110" i="5" s="1"/>
  <c r="AA191" i="5"/>
  <c r="Q191" i="5" s="1"/>
  <c r="AC50" i="5"/>
  <c r="T50" i="5" s="1"/>
  <c r="AA165" i="5"/>
  <c r="Q165" i="5" s="1"/>
  <c r="AA186" i="5"/>
  <c r="Q186" i="5" s="1"/>
  <c r="AA47" i="5"/>
  <c r="Q47" i="5" s="1"/>
  <c r="AC44" i="5"/>
  <c r="T44" i="5" s="1"/>
  <c r="AA43" i="5"/>
  <c r="Q43" i="5" s="1"/>
  <c r="AC38" i="5"/>
  <c r="T38" i="5" s="1"/>
  <c r="AC51" i="5"/>
  <c r="T51" i="5" s="1"/>
  <c r="AC47" i="5"/>
  <c r="T47" i="5" s="1"/>
  <c r="AA56" i="5"/>
  <c r="Q56" i="5" s="1"/>
  <c r="AC39" i="5"/>
  <c r="T39" i="5" s="1"/>
  <c r="AA91" i="5"/>
  <c r="Q91" i="5" s="1"/>
  <c r="AA156" i="5"/>
  <c r="Q156" i="5" s="1"/>
  <c r="AC31" i="5"/>
  <c r="T31" i="5" s="1"/>
  <c r="AC25" i="5"/>
  <c r="T25" i="5" s="1"/>
  <c r="AA24" i="5"/>
  <c r="Q24" i="5" s="1"/>
  <c r="AA22" i="5"/>
  <c r="Q22" i="5" s="1"/>
  <c r="AC34" i="5"/>
  <c r="T34" i="5" s="1"/>
  <c r="AC33" i="5"/>
  <c r="T33" i="5" s="1"/>
  <c r="AA31" i="5"/>
  <c r="Q31" i="5" s="1"/>
  <c r="AA25" i="5"/>
  <c r="Q25" i="5" s="1"/>
  <c r="AA34" i="5"/>
  <c r="Q34" i="5" s="1"/>
  <c r="AA33" i="5"/>
  <c r="Q33" i="5" s="1"/>
  <c r="AC30" i="5"/>
  <c r="T30" i="5" s="1"/>
  <c r="AA30" i="5"/>
  <c r="Q30" i="5" s="1"/>
  <c r="AC24" i="5"/>
  <c r="T24" i="5" s="1"/>
  <c r="AC22" i="5"/>
  <c r="T22" i="5" s="1"/>
  <c r="AC19" i="5"/>
  <c r="T19" i="5" s="1"/>
  <c r="AA18" i="5"/>
  <c r="Q18" i="5" s="1"/>
  <c r="AC18" i="5"/>
  <c r="T18" i="5" s="1"/>
  <c r="AA16" i="5"/>
  <c r="Q16" i="5" s="1"/>
  <c r="AC17" i="5"/>
  <c r="T17" i="5" s="1"/>
  <c r="AA15" i="5"/>
  <c r="Q15" i="5" s="1"/>
  <c r="AA17" i="5"/>
  <c r="Q17" i="5" s="1"/>
  <c r="AC16" i="5"/>
  <c r="T16" i="5" s="1"/>
  <c r="AA19" i="5"/>
  <c r="Q19" i="5" s="1"/>
  <c r="AC15" i="5"/>
  <c r="T15" i="5" s="1"/>
  <c r="AA129" i="5"/>
  <c r="Q129" i="5" s="1"/>
  <c r="D14" i="4"/>
  <c r="K11" i="4"/>
  <c r="J11" i="4"/>
  <c r="H11" i="4"/>
  <c r="J10" i="4"/>
  <c r="T149" i="5" l="1"/>
  <c r="T123" i="5"/>
  <c r="T169" i="5"/>
  <c r="Q115" i="5"/>
  <c r="T193" i="5"/>
  <c r="T129" i="5"/>
  <c r="AE129" i="5"/>
  <c r="V129" i="5" s="1"/>
  <c r="T185" i="5"/>
  <c r="T60" i="5"/>
  <c r="T124" i="5"/>
  <c r="T115" i="5"/>
  <c r="Q159" i="5"/>
  <c r="T143" i="5"/>
  <c r="T94" i="5"/>
  <c r="T106" i="5"/>
  <c r="T141" i="5"/>
  <c r="T80" i="5"/>
  <c r="T159" i="5"/>
  <c r="T189" i="5"/>
  <c r="T178" i="5"/>
  <c r="K3" i="2"/>
  <c r="C6" i="2" s="1"/>
  <c r="J3" i="2"/>
  <c r="R3" i="18" l="1"/>
  <c r="AB3" i="5"/>
  <c r="R2" i="5"/>
  <c r="R3" i="5"/>
  <c r="L70" i="4" l="1"/>
  <c r="H70" i="4"/>
  <c r="B70" i="4"/>
  <c r="L68" i="4"/>
  <c r="H68" i="4"/>
  <c r="B68" i="4"/>
  <c r="L66" i="4"/>
  <c r="B66" i="4"/>
  <c r="N47" i="21" l="1"/>
  <c r="N46" i="21"/>
  <c r="BO194" i="5" l="1"/>
  <c r="BO193" i="5"/>
  <c r="BO191" i="5"/>
  <c r="BO190" i="5"/>
  <c r="BO189" i="5"/>
  <c r="BO187" i="5"/>
  <c r="BO186" i="5"/>
  <c r="BO185" i="5"/>
  <c r="BO181" i="5"/>
  <c r="BO180" i="5"/>
  <c r="BO179" i="5"/>
  <c r="BO178" i="5"/>
  <c r="BO176" i="5"/>
  <c r="BO175" i="5"/>
  <c r="BO173" i="5"/>
  <c r="BO171" i="5"/>
  <c r="BO170" i="5"/>
  <c r="BO169" i="5"/>
  <c r="BO167" i="5"/>
  <c r="BO157" i="5"/>
  <c r="BO156" i="5"/>
  <c r="BO155" i="5"/>
  <c r="BO154" i="5"/>
  <c r="BO153" i="5"/>
  <c r="BO152" i="5"/>
  <c r="BO150" i="5"/>
  <c r="BO149" i="5"/>
  <c r="BO147" i="5"/>
  <c r="BO144" i="5"/>
  <c r="BO143" i="5"/>
  <c r="BO141" i="5"/>
  <c r="BO140" i="5"/>
  <c r="BO131" i="5"/>
  <c r="BO130" i="5"/>
  <c r="BO124" i="5"/>
  <c r="BO123" i="5"/>
  <c r="BO119" i="5"/>
  <c r="BO118" i="5"/>
  <c r="BO116" i="5"/>
  <c r="BO113" i="5"/>
  <c r="BO111" i="5"/>
  <c r="BO110" i="5"/>
  <c r="BO109" i="5"/>
  <c r="BO108" i="5"/>
  <c r="BO107" i="5"/>
  <c r="BO106" i="5"/>
  <c r="BO104" i="5"/>
  <c r="BO103" i="5"/>
  <c r="BO102" i="5"/>
  <c r="BO98" i="5"/>
  <c r="BO97" i="5"/>
  <c r="BO96" i="5"/>
  <c r="BO95" i="5"/>
  <c r="BO94" i="5"/>
  <c r="BO88" i="5"/>
  <c r="BO87" i="5"/>
  <c r="BO86" i="5"/>
  <c r="BO85" i="5"/>
  <c r="BO84" i="5"/>
  <c r="BO83" i="5"/>
  <c r="BO81" i="5"/>
  <c r="BO80" i="5"/>
  <c r="BO77" i="5"/>
  <c r="BO76" i="5"/>
  <c r="BO75" i="5"/>
  <c r="BO72" i="5"/>
  <c r="BO71" i="5"/>
  <c r="BO69" i="5"/>
  <c r="BO67" i="5"/>
  <c r="BO66" i="5"/>
  <c r="BO65" i="5"/>
  <c r="BO61" i="5"/>
  <c r="BO60" i="5"/>
  <c r="BO57" i="5"/>
  <c r="BO56" i="5"/>
  <c r="BO55" i="5"/>
  <c r="BO51" i="5"/>
  <c r="BO50" i="5"/>
  <c r="BO47" i="5"/>
  <c r="BO46" i="5"/>
  <c r="BO45" i="5"/>
  <c r="BO44" i="5"/>
  <c r="BO43" i="5"/>
  <c r="BO42" i="5"/>
  <c r="BO39" i="5"/>
  <c r="BO38" i="5"/>
  <c r="BO37" i="5"/>
  <c r="BO31" i="5"/>
  <c r="BO30" i="5"/>
  <c r="BO29" i="5"/>
  <c r="BO28" i="5"/>
  <c r="BO27" i="5"/>
  <c r="BO26" i="5"/>
  <c r="BO25" i="5"/>
  <c r="BO24" i="5"/>
  <c r="BO23" i="5"/>
  <c r="BO22" i="5"/>
  <c r="BO19" i="5"/>
  <c r="BO18" i="5"/>
  <c r="BO17" i="5"/>
  <c r="BO16" i="5"/>
  <c r="BO15" i="5"/>
  <c r="BO11" i="5"/>
  <c r="BO137" i="5" l="1"/>
  <c r="BO136" i="5"/>
  <c r="BO135" i="5"/>
  <c r="BO134" i="5"/>
  <c r="BO133" i="5"/>
  <c r="BO132" i="5"/>
  <c r="BO128" i="5"/>
  <c r="BO127" i="5"/>
  <c r="BO126" i="5"/>
  <c r="BO125" i="5"/>
  <c r="BO120" i="5"/>
  <c r="BO99" i="5"/>
  <c r="BO92" i="5"/>
  <c r="BO91" i="5"/>
  <c r="BO90" i="5"/>
  <c r="BO89" i="5"/>
  <c r="BO58" i="5"/>
  <c r="BO53" i="5"/>
  <c r="BO52" i="5"/>
  <c r="BO41" i="5"/>
  <c r="BO34" i="5"/>
  <c r="BO33" i="5"/>
  <c r="BO13" i="5"/>
  <c r="BO12" i="5"/>
  <c r="N86" i="21" l="1"/>
  <c r="G100" i="11" l="1"/>
  <c r="N85" i="21" s="1"/>
  <c r="Q85" i="21" l="1"/>
  <c r="N82" i="21" l="1"/>
  <c r="N66" i="21"/>
  <c r="N48" i="21"/>
  <c r="D11" i="21" l="1"/>
  <c r="D9" i="21"/>
  <c r="K12" i="21" l="1"/>
  <c r="K11" i="21"/>
  <c r="Q99" i="21" l="1"/>
  <c r="M99" i="21" s="1"/>
  <c r="Q86" i="21"/>
  <c r="Q82" i="21"/>
  <c r="Q66" i="21"/>
  <c r="Q48" i="21"/>
  <c r="Q47" i="21"/>
  <c r="Q46" i="21"/>
  <c r="M45" i="21"/>
  <c r="N45" i="21" l="1"/>
  <c r="F43" i="10" l="1"/>
  <c r="F42" i="10"/>
  <c r="F41" i="10"/>
  <c r="F40" i="10"/>
  <c r="F39" i="10"/>
  <c r="N48" i="9" l="1"/>
  <c r="M37" i="9" s="1"/>
  <c r="Y69" i="5" s="1"/>
  <c r="AC69" i="5" s="1"/>
  <c r="T69" i="5" s="1"/>
  <c r="K48" i="9"/>
  <c r="F37" i="9" s="1"/>
  <c r="X69" i="5" s="1"/>
  <c r="AA69" i="5" s="1"/>
  <c r="Q69" i="5" s="1"/>
  <c r="M42" i="9" l="1"/>
  <c r="M41" i="9"/>
  <c r="M40" i="9"/>
  <c r="M43" i="9"/>
  <c r="M39" i="9"/>
  <c r="F43" i="9"/>
  <c r="F41" i="9"/>
  <c r="F39" i="9"/>
  <c r="F40" i="9"/>
  <c r="F42" i="9"/>
  <c r="F252" i="9" l="1"/>
  <c r="F251" i="9"/>
  <c r="F250" i="9"/>
  <c r="F249" i="9"/>
  <c r="F248" i="9"/>
  <c r="K243" i="9"/>
  <c r="F243" i="9"/>
  <c r="K242" i="9"/>
  <c r="F242" i="9"/>
  <c r="K241" i="9"/>
  <c r="F241" i="9"/>
  <c r="K240" i="9"/>
  <c r="F240" i="9"/>
  <c r="K239" i="9"/>
  <c r="F239" i="9"/>
  <c r="F184" i="9"/>
  <c r="G164" i="9"/>
  <c r="F152" i="9" s="1"/>
  <c r="G119" i="9"/>
  <c r="F112" i="9" s="1"/>
  <c r="G110" i="9"/>
  <c r="F102" i="9" s="1"/>
  <c r="Q3" i="18" l="1"/>
  <c r="AA63" i="18" l="1"/>
  <c r="AA9" i="18"/>
  <c r="AU3" i="5"/>
  <c r="AU2" i="5"/>
  <c r="BB78" i="5"/>
  <c r="BK183" i="5" l="1"/>
  <c r="BJ183" i="5"/>
  <c r="BI183" i="5"/>
  <c r="BH183" i="5"/>
  <c r="BG183" i="5"/>
  <c r="BF183" i="5"/>
  <c r="BE183" i="5"/>
  <c r="BD183" i="5"/>
  <c r="BC183" i="5"/>
  <c r="BB183" i="5"/>
  <c r="BK174" i="5"/>
  <c r="BJ174" i="5"/>
  <c r="BI174" i="5"/>
  <c r="BH174" i="5"/>
  <c r="BG174" i="5"/>
  <c r="BF174" i="5"/>
  <c r="BE174" i="5"/>
  <c r="BD174" i="5"/>
  <c r="BC174" i="5"/>
  <c r="BB174" i="5"/>
  <c r="BK173" i="5"/>
  <c r="BJ173" i="5"/>
  <c r="BI173" i="5"/>
  <c r="BH173" i="5"/>
  <c r="BG173" i="5"/>
  <c r="BF173" i="5"/>
  <c r="BE173" i="5"/>
  <c r="BD173" i="5"/>
  <c r="BC173" i="5"/>
  <c r="BB173" i="5"/>
  <c r="BK166" i="5"/>
  <c r="BJ166" i="5"/>
  <c r="BI166" i="5"/>
  <c r="BH166" i="5"/>
  <c r="BG166" i="5"/>
  <c r="BF166" i="5"/>
  <c r="BE166" i="5"/>
  <c r="BD166" i="5"/>
  <c r="BC166" i="5"/>
  <c r="BB166" i="5"/>
  <c r="BK151" i="5"/>
  <c r="BJ151" i="5"/>
  <c r="BI151" i="5"/>
  <c r="BH151" i="5"/>
  <c r="BG151" i="5"/>
  <c r="BF151" i="5"/>
  <c r="BE151" i="5"/>
  <c r="BD151" i="5"/>
  <c r="BC151" i="5"/>
  <c r="BB151" i="5"/>
  <c r="BK146" i="5"/>
  <c r="BJ146" i="5"/>
  <c r="BI146" i="5"/>
  <c r="BH146" i="5"/>
  <c r="BG146" i="5"/>
  <c r="BF146" i="5"/>
  <c r="BE146" i="5"/>
  <c r="BD146" i="5"/>
  <c r="BC146" i="5"/>
  <c r="BB146" i="5"/>
  <c r="BK138" i="5"/>
  <c r="BJ138" i="5"/>
  <c r="BI138" i="5"/>
  <c r="BH138" i="5"/>
  <c r="BG138" i="5"/>
  <c r="BF138" i="5"/>
  <c r="BE138" i="5"/>
  <c r="BD138" i="5"/>
  <c r="BC138" i="5"/>
  <c r="BB138" i="5"/>
  <c r="BK129" i="5"/>
  <c r="BJ129" i="5"/>
  <c r="BI129" i="5"/>
  <c r="BH129" i="5"/>
  <c r="BG129" i="5"/>
  <c r="BF129" i="5"/>
  <c r="BE129" i="5"/>
  <c r="BD129" i="5"/>
  <c r="BC129" i="5"/>
  <c r="BB129" i="5"/>
  <c r="BK124" i="5"/>
  <c r="BJ124" i="5"/>
  <c r="BI124" i="5"/>
  <c r="BH124" i="5"/>
  <c r="BG124" i="5"/>
  <c r="BF124" i="5"/>
  <c r="BE124" i="5"/>
  <c r="BD124" i="5"/>
  <c r="BC124" i="5"/>
  <c r="BB124" i="5"/>
  <c r="BK123" i="5"/>
  <c r="BJ123" i="5"/>
  <c r="BI123" i="5"/>
  <c r="BH123" i="5"/>
  <c r="BG123" i="5"/>
  <c r="BF123" i="5"/>
  <c r="BE123" i="5"/>
  <c r="BD123" i="5"/>
  <c r="BC123" i="5"/>
  <c r="BB123" i="5"/>
  <c r="BK117" i="5"/>
  <c r="BJ117" i="5"/>
  <c r="BI117" i="5"/>
  <c r="BH117" i="5"/>
  <c r="BG117" i="5"/>
  <c r="BF117" i="5"/>
  <c r="BE117" i="5"/>
  <c r="BD117" i="5"/>
  <c r="BC117" i="5"/>
  <c r="BB117" i="5"/>
  <c r="BK116" i="5"/>
  <c r="BJ116" i="5"/>
  <c r="BI116" i="5"/>
  <c r="BH116" i="5"/>
  <c r="BG116" i="5"/>
  <c r="BF116" i="5"/>
  <c r="BE116" i="5"/>
  <c r="BD116" i="5"/>
  <c r="BC116" i="5"/>
  <c r="BB116" i="5"/>
  <c r="BK113" i="5"/>
  <c r="BJ113" i="5"/>
  <c r="BI113" i="5"/>
  <c r="BH113" i="5"/>
  <c r="BG113" i="5"/>
  <c r="BF113" i="5"/>
  <c r="BE113" i="5"/>
  <c r="BD113" i="5"/>
  <c r="BC113" i="5"/>
  <c r="BB113" i="5"/>
  <c r="BK100" i="5"/>
  <c r="BJ100" i="5"/>
  <c r="BI100" i="5"/>
  <c r="BH100" i="5"/>
  <c r="BG100" i="5"/>
  <c r="BF100" i="5"/>
  <c r="BE100" i="5"/>
  <c r="BD100" i="5"/>
  <c r="BC100" i="5"/>
  <c r="BB100" i="5"/>
  <c r="BK78" i="5"/>
  <c r="BJ78" i="5"/>
  <c r="BI78" i="5"/>
  <c r="BH78" i="5"/>
  <c r="BG78" i="5"/>
  <c r="BF78" i="5"/>
  <c r="BE78" i="5"/>
  <c r="BD78" i="5"/>
  <c r="BC78" i="5"/>
  <c r="BK63" i="5"/>
  <c r="BJ63" i="5"/>
  <c r="BI63" i="5"/>
  <c r="BH63" i="5"/>
  <c r="BG63" i="5"/>
  <c r="BF63" i="5"/>
  <c r="BE63" i="5"/>
  <c r="BD63" i="5"/>
  <c r="BC63" i="5"/>
  <c r="BB63" i="5"/>
  <c r="BK62" i="5"/>
  <c r="BJ62" i="5"/>
  <c r="BI62" i="5"/>
  <c r="BH62" i="5"/>
  <c r="BG62" i="5"/>
  <c r="BF62" i="5"/>
  <c r="BE62" i="5"/>
  <c r="BD62" i="5"/>
  <c r="BC62" i="5"/>
  <c r="BB62" i="5"/>
  <c r="BK48" i="5"/>
  <c r="BJ48" i="5"/>
  <c r="BI48" i="5"/>
  <c r="BH48" i="5"/>
  <c r="BG48" i="5"/>
  <c r="BF48" i="5"/>
  <c r="BE48" i="5"/>
  <c r="BD48" i="5"/>
  <c r="BC48" i="5"/>
  <c r="BB48" i="5"/>
  <c r="BK35" i="5"/>
  <c r="BJ35" i="5"/>
  <c r="BI35" i="5"/>
  <c r="BH35" i="5"/>
  <c r="BG35" i="5"/>
  <c r="BF35" i="5"/>
  <c r="BE35" i="5"/>
  <c r="BD35" i="5"/>
  <c r="BC35" i="5"/>
  <c r="BB35" i="5"/>
  <c r="BK20" i="5"/>
  <c r="BJ20" i="5"/>
  <c r="BI20" i="5"/>
  <c r="BH20" i="5"/>
  <c r="BG20" i="5"/>
  <c r="BF20" i="5"/>
  <c r="BE20" i="5"/>
  <c r="BD20" i="5"/>
  <c r="BC20" i="5"/>
  <c r="BB20" i="5"/>
  <c r="BK10" i="5"/>
  <c r="BC10" i="5"/>
  <c r="BD10" i="5"/>
  <c r="BE10" i="5"/>
  <c r="BF10" i="5"/>
  <c r="BG10" i="5"/>
  <c r="BH10" i="5"/>
  <c r="BI10" i="5"/>
  <c r="BJ10" i="5"/>
  <c r="BB10" i="5"/>
  <c r="BC6" i="5"/>
  <c r="BD6" i="5"/>
  <c r="BE6" i="5"/>
  <c r="BF6" i="5"/>
  <c r="BG6" i="5"/>
  <c r="BH6" i="5"/>
  <c r="BI6" i="5"/>
  <c r="BJ6" i="5"/>
  <c r="BK6" i="5"/>
  <c r="BB6" i="5"/>
  <c r="C64" i="2" l="1"/>
  <c r="G34" i="24" l="1"/>
  <c r="F46" i="24"/>
  <c r="G16" i="24"/>
  <c r="L47" i="11"/>
  <c r="O16" i="11"/>
  <c r="S25" i="6"/>
  <c r="U9" i="5"/>
  <c r="AA218" i="15" l="1"/>
  <c r="Z218" i="15"/>
  <c r="Y218" i="15"/>
  <c r="X218" i="15"/>
  <c r="W218" i="15"/>
  <c r="V218" i="15"/>
  <c r="U218" i="15"/>
  <c r="T218" i="15"/>
  <c r="AA217" i="15"/>
  <c r="Z217" i="15"/>
  <c r="Y217" i="15"/>
  <c r="X217" i="15"/>
  <c r="W217" i="15"/>
  <c r="V217" i="15"/>
  <c r="U217" i="15"/>
  <c r="T217" i="15"/>
  <c r="K19" i="2" l="1"/>
  <c r="I216" i="15" s="1"/>
  <c r="H235" i="15" l="1"/>
  <c r="I235" i="15" s="1"/>
  <c r="K127" i="24" s="1"/>
  <c r="N125" i="24" s="1"/>
  <c r="I120" i="6" s="1"/>
  <c r="G236" i="15"/>
  <c r="H236" i="15" s="1"/>
  <c r="I236" i="15" s="1"/>
  <c r="L127" i="24" s="1"/>
  <c r="P125" i="24" s="1"/>
  <c r="H120" i="6" s="1"/>
  <c r="I217" i="15"/>
  <c r="I234" i="15"/>
  <c r="I221" i="15"/>
  <c r="I225" i="15"/>
  <c r="I229" i="15"/>
  <c r="I233" i="15"/>
  <c r="I218" i="15"/>
  <c r="I222" i="15"/>
  <c r="I226" i="15"/>
  <c r="I230" i="15"/>
  <c r="I220" i="15"/>
  <c r="I224" i="15"/>
  <c r="I228" i="15"/>
  <c r="I232" i="15"/>
  <c r="I219" i="15"/>
  <c r="I223" i="15"/>
  <c r="I227" i="15"/>
  <c r="I231" i="15"/>
  <c r="K178" i="13" l="1"/>
  <c r="R47" i="2"/>
  <c r="H97" i="24" s="1"/>
  <c r="R48" i="2"/>
  <c r="H98" i="24" s="1"/>
  <c r="R49" i="2"/>
  <c r="H99" i="24" s="1"/>
  <c r="R50" i="2"/>
  <c r="R51" i="2"/>
  <c r="R52" i="2"/>
  <c r="R53" i="2"/>
  <c r="R54" i="2"/>
  <c r="H104" i="24" s="1"/>
  <c r="R55" i="2"/>
  <c r="H105" i="24" s="1"/>
  <c r="R56" i="2"/>
  <c r="R57" i="2"/>
  <c r="R58" i="2"/>
  <c r="R59" i="2"/>
  <c r="H109" i="24" s="1"/>
  <c r="R60" i="2"/>
  <c r="G203" i="15" s="1"/>
  <c r="H203" i="15" s="1"/>
  <c r="J110" i="24" s="1"/>
  <c r="R61" i="2"/>
  <c r="H111" i="24" s="1"/>
  <c r="R62" i="2"/>
  <c r="H112" i="24" s="1"/>
  <c r="C49" i="2"/>
  <c r="C47" i="2"/>
  <c r="C54" i="2"/>
  <c r="J56" i="2"/>
  <c r="C57" i="2"/>
  <c r="J60" i="2"/>
  <c r="J61" i="2"/>
  <c r="N61" i="2" s="1"/>
  <c r="J62" i="2"/>
  <c r="N62" i="2" s="1"/>
  <c r="F33" i="6" s="1"/>
  <c r="J64" i="2"/>
  <c r="N48" i="2"/>
  <c r="O48" i="2" s="1"/>
  <c r="N50" i="2"/>
  <c r="N51" i="2"/>
  <c r="O51" i="2" s="1"/>
  <c r="N52" i="2"/>
  <c r="O52" i="2" s="1"/>
  <c r="N53" i="2"/>
  <c r="O53" i="2" s="1"/>
  <c r="N55" i="2"/>
  <c r="O55" i="2" s="1"/>
  <c r="N58" i="2"/>
  <c r="O58" i="2" s="1"/>
  <c r="N59" i="2"/>
  <c r="O59" i="2" s="1"/>
  <c r="N63" i="2"/>
  <c r="O50" i="2"/>
  <c r="D64" i="16"/>
  <c r="L131" i="18"/>
  <c r="L130" i="18"/>
  <c r="L127" i="18"/>
  <c r="L128" i="18"/>
  <c r="K128" i="18"/>
  <c r="L125" i="18"/>
  <c r="K133" i="18"/>
  <c r="L33" i="11"/>
  <c r="L32" i="11"/>
  <c r="L31" i="11"/>
  <c r="L30" i="11"/>
  <c r="L29" i="11"/>
  <c r="L64" i="2"/>
  <c r="K56" i="8" s="1"/>
  <c r="R64" i="2"/>
  <c r="F239" i="14"/>
  <c r="F238" i="14"/>
  <c r="F237" i="14"/>
  <c r="F236" i="14"/>
  <c r="F235" i="14"/>
  <c r="R65" i="2"/>
  <c r="G206" i="15"/>
  <c r="H206" i="15" s="1"/>
  <c r="D43" i="2"/>
  <c r="H207" i="15"/>
  <c r="H208" i="15"/>
  <c r="D16" i="3"/>
  <c r="O206" i="15"/>
  <c r="P206" i="15"/>
  <c r="Q206" i="15"/>
  <c r="O188" i="15"/>
  <c r="I101" i="15"/>
  <c r="P188" i="15" s="1"/>
  <c r="I67" i="15"/>
  <c r="J67" i="15"/>
  <c r="K67" i="15"/>
  <c r="L67" i="15"/>
  <c r="M67" i="15"/>
  <c r="N67" i="15"/>
  <c r="O67" i="15"/>
  <c r="P67" i="15"/>
  <c r="Q67" i="15"/>
  <c r="I70" i="15"/>
  <c r="J70" i="15"/>
  <c r="K70" i="15"/>
  <c r="L70" i="15"/>
  <c r="M70" i="15"/>
  <c r="N70" i="15"/>
  <c r="O70" i="15"/>
  <c r="P70" i="15"/>
  <c r="Q70" i="15"/>
  <c r="I73" i="15"/>
  <c r="J73" i="15"/>
  <c r="K73" i="15"/>
  <c r="O73" i="15"/>
  <c r="P73" i="15"/>
  <c r="Q73" i="15"/>
  <c r="O3" i="11"/>
  <c r="U3" i="11"/>
  <c r="F70" i="2"/>
  <c r="AE8" i="18" s="1"/>
  <c r="F20" i="6"/>
  <c r="O103" i="6" s="1"/>
  <c r="L15" i="18"/>
  <c r="L144" i="18"/>
  <c r="L143" i="18"/>
  <c r="L141" i="18"/>
  <c r="L140" i="18"/>
  <c r="K117" i="11"/>
  <c r="K116" i="11"/>
  <c r="K115" i="11"/>
  <c r="K114" i="11"/>
  <c r="K113" i="11"/>
  <c r="K147" i="11"/>
  <c r="K146" i="11"/>
  <c r="K145" i="11"/>
  <c r="K144" i="11"/>
  <c r="K143" i="11"/>
  <c r="G294" i="9"/>
  <c r="J294" i="9" s="1"/>
  <c r="J286" i="9" s="1"/>
  <c r="Q7" i="3"/>
  <c r="C5" i="3" s="1"/>
  <c r="J95" i="15" s="1"/>
  <c r="D24" i="3"/>
  <c r="H47" i="13"/>
  <c r="F29" i="13" s="1"/>
  <c r="K41" i="18"/>
  <c r="L42" i="18"/>
  <c r="L43" i="18"/>
  <c r="K33" i="18"/>
  <c r="N91" i="15"/>
  <c r="M91" i="15"/>
  <c r="L91" i="15"/>
  <c r="N88" i="15"/>
  <c r="M88" i="15"/>
  <c r="L88" i="15"/>
  <c r="N85" i="15"/>
  <c r="M85" i="15"/>
  <c r="L85" i="15"/>
  <c r="N82" i="15"/>
  <c r="M82" i="15"/>
  <c r="L82" i="15"/>
  <c r="N79" i="15"/>
  <c r="M79" i="15"/>
  <c r="L79" i="15"/>
  <c r="N76" i="15"/>
  <c r="M76" i="15"/>
  <c r="L76" i="15"/>
  <c r="F21" i="6"/>
  <c r="H58" i="15" s="1"/>
  <c r="F22" i="6"/>
  <c r="H16" i="15"/>
  <c r="H10" i="15"/>
  <c r="L62" i="2"/>
  <c r="D88" i="3"/>
  <c r="F88" i="3"/>
  <c r="K5" i="4"/>
  <c r="N5" i="4"/>
  <c r="D8" i="4"/>
  <c r="J8" i="4"/>
  <c r="D9" i="4"/>
  <c r="J9" i="4"/>
  <c r="D10" i="4"/>
  <c r="F7" i="10"/>
  <c r="X113" i="5" s="1"/>
  <c r="AA113" i="5" s="1"/>
  <c r="D11" i="4"/>
  <c r="J12" i="4"/>
  <c r="D13" i="4"/>
  <c r="F13" i="4"/>
  <c r="J13" i="4"/>
  <c r="D15" i="4"/>
  <c r="J15" i="4"/>
  <c r="D16" i="4"/>
  <c r="J16" i="4"/>
  <c r="J17" i="4"/>
  <c r="U36" i="4"/>
  <c r="U29" i="4"/>
  <c r="U32" i="4" s="1"/>
  <c r="Z33" i="4"/>
  <c r="Z34" i="4"/>
  <c r="Z41" i="4"/>
  <c r="C42" i="4"/>
  <c r="H42" i="4"/>
  <c r="L42" i="4"/>
  <c r="Z42" i="4"/>
  <c r="Z43" i="4"/>
  <c r="H91" i="10"/>
  <c r="F62" i="10" s="1"/>
  <c r="X118" i="5" s="1"/>
  <c r="AA118" i="5" s="1"/>
  <c r="Q118" i="5" s="1"/>
  <c r="C53" i="4"/>
  <c r="H53" i="4"/>
  <c r="L53" i="4"/>
  <c r="B67" i="4"/>
  <c r="H67" i="4"/>
  <c r="L67" i="4"/>
  <c r="B69" i="4"/>
  <c r="H69" i="4"/>
  <c r="L69" i="4"/>
  <c r="B2" i="5"/>
  <c r="B3" i="5"/>
  <c r="E5" i="5"/>
  <c r="AC8" i="18"/>
  <c r="AD8" i="18"/>
  <c r="AG8" i="5"/>
  <c r="AI8" i="5"/>
  <c r="X11" i="5"/>
  <c r="AA11" i="5" s="1"/>
  <c r="Y11" i="5"/>
  <c r="AC11" i="5" s="1"/>
  <c r="L23" i="18"/>
  <c r="L25" i="18"/>
  <c r="L28" i="18"/>
  <c r="L29" i="18"/>
  <c r="K27" i="18"/>
  <c r="L33" i="18"/>
  <c r="L34" i="18"/>
  <c r="K34" i="18"/>
  <c r="L37" i="18"/>
  <c r="L38" i="18"/>
  <c r="L39" i="18"/>
  <c r="K38" i="18"/>
  <c r="K45" i="18"/>
  <c r="L45" i="18"/>
  <c r="K46" i="18"/>
  <c r="L46" i="18"/>
  <c r="K50" i="18"/>
  <c r="L52" i="18"/>
  <c r="K58" i="18"/>
  <c r="L60" i="18"/>
  <c r="L61" i="18"/>
  <c r="L62" i="18"/>
  <c r="L66" i="18"/>
  <c r="N34" i="21"/>
  <c r="L67" i="18"/>
  <c r="L71" i="18"/>
  <c r="L80" i="18"/>
  <c r="L81" i="18"/>
  <c r="L83" i="18"/>
  <c r="L84" i="18"/>
  <c r="L85" i="18"/>
  <c r="L86" i="18"/>
  <c r="L88" i="18"/>
  <c r="L91" i="18"/>
  <c r="L96" i="18"/>
  <c r="L97" i="18"/>
  <c r="L98" i="18"/>
  <c r="L106" i="18"/>
  <c r="H31" i="21"/>
  <c r="L107" i="18"/>
  <c r="H32" i="21"/>
  <c r="L108" i="18"/>
  <c r="H33" i="21"/>
  <c r="L109" i="18"/>
  <c r="H34" i="21"/>
  <c r="L110" i="18"/>
  <c r="L111" i="18"/>
  <c r="L112" i="18"/>
  <c r="L113" i="18"/>
  <c r="L116" i="18"/>
  <c r="L118" i="18"/>
  <c r="H119" i="10"/>
  <c r="F95" i="10" s="1"/>
  <c r="X119" i="5" s="1"/>
  <c r="AA119" i="5" s="1"/>
  <c r="Q119" i="5" s="1"/>
  <c r="L119" i="18"/>
  <c r="L121" i="18"/>
  <c r="L122" i="18"/>
  <c r="L123" i="18"/>
  <c r="L132" i="18"/>
  <c r="L133" i="18"/>
  <c r="L134" i="18"/>
  <c r="L135" i="18"/>
  <c r="L136" i="18"/>
  <c r="L137" i="18"/>
  <c r="L145" i="18"/>
  <c r="L147" i="18"/>
  <c r="L149" i="18"/>
  <c r="L150" i="18"/>
  <c r="L152" i="18"/>
  <c r="L153" i="18"/>
  <c r="N40" i="21"/>
  <c r="L154" i="18"/>
  <c r="L155" i="18"/>
  <c r="L156" i="18"/>
  <c r="L157" i="18"/>
  <c r="K254" i="13"/>
  <c r="L167" i="18"/>
  <c r="L169" i="18"/>
  <c r="L170" i="18"/>
  <c r="L171" i="18"/>
  <c r="L173" i="18"/>
  <c r="L175" i="18"/>
  <c r="H60" i="14"/>
  <c r="F31" i="14" s="1"/>
  <c r="X176" i="5" s="1"/>
  <c r="AA176" i="5" s="1"/>
  <c r="Q176" i="5" s="1"/>
  <c r="L176" i="18"/>
  <c r="K178" i="18"/>
  <c r="L178" i="18"/>
  <c r="L179" i="18"/>
  <c r="L193" i="18"/>
  <c r="L194" i="18"/>
  <c r="H99" i="14"/>
  <c r="F83" i="14" s="1"/>
  <c r="X180" i="5" s="1"/>
  <c r="AA180" i="5" s="1"/>
  <c r="Q180" i="5" s="1"/>
  <c r="L180" i="18"/>
  <c r="H118" i="14"/>
  <c r="F103" i="14" s="1"/>
  <c r="X181" i="5" s="1"/>
  <c r="AA181" i="5" s="1"/>
  <c r="Q181" i="5" s="1"/>
  <c r="L181" i="18"/>
  <c r="L185" i="18"/>
  <c r="L186" i="18"/>
  <c r="L187" i="18"/>
  <c r="L189" i="18"/>
  <c r="L190" i="18"/>
  <c r="L191" i="18"/>
  <c r="H201" i="14"/>
  <c r="H230" i="14"/>
  <c r="F216" i="14" s="1"/>
  <c r="B2" i="6"/>
  <c r="N2" i="6"/>
  <c r="B3" i="6"/>
  <c r="N3" i="6"/>
  <c r="N11" i="6"/>
  <c r="AA11" i="6"/>
  <c r="N12" i="6"/>
  <c r="N13" i="6"/>
  <c r="N14" i="6"/>
  <c r="N15" i="6"/>
  <c r="N16" i="6"/>
  <c r="N17" i="6"/>
  <c r="N18" i="6"/>
  <c r="E1" i="7"/>
  <c r="N1" i="8"/>
  <c r="O3" i="8"/>
  <c r="U3" i="8"/>
  <c r="U4" i="8"/>
  <c r="U5" i="8"/>
  <c r="U6" i="8"/>
  <c r="F9" i="8"/>
  <c r="L9" i="8"/>
  <c r="F10" i="8"/>
  <c r="L10" i="8"/>
  <c r="F11" i="8"/>
  <c r="L11" i="8"/>
  <c r="F12" i="8"/>
  <c r="L12" i="8"/>
  <c r="F13" i="8"/>
  <c r="L13" i="8"/>
  <c r="F53" i="8"/>
  <c r="G53" i="8"/>
  <c r="G63" i="8"/>
  <c r="G56" i="8" s="1"/>
  <c r="F133" i="8"/>
  <c r="K133" i="8"/>
  <c r="F134" i="8"/>
  <c r="K134" i="8"/>
  <c r="F135" i="8"/>
  <c r="K135" i="8"/>
  <c r="F136" i="8"/>
  <c r="K136" i="8"/>
  <c r="F137" i="8"/>
  <c r="K137" i="8"/>
  <c r="F160" i="8"/>
  <c r="F161" i="8"/>
  <c r="F162" i="8"/>
  <c r="F163" i="8"/>
  <c r="F164" i="8"/>
  <c r="F187" i="8"/>
  <c r="F188" i="8"/>
  <c r="F189" i="8"/>
  <c r="F190" i="8"/>
  <c r="F191" i="8"/>
  <c r="F196" i="8"/>
  <c r="K196" i="8"/>
  <c r="F197" i="8"/>
  <c r="K197" i="8"/>
  <c r="F198" i="8"/>
  <c r="K198" i="8"/>
  <c r="F199" i="8"/>
  <c r="K199" i="8"/>
  <c r="F200" i="8"/>
  <c r="K200" i="8"/>
  <c r="F205" i="8"/>
  <c r="F206" i="8"/>
  <c r="F207" i="8"/>
  <c r="F208" i="8"/>
  <c r="F209" i="8"/>
  <c r="F214" i="8"/>
  <c r="K214" i="8"/>
  <c r="F215" i="8"/>
  <c r="K215" i="8"/>
  <c r="F216" i="8"/>
  <c r="K216" i="8"/>
  <c r="F217" i="8"/>
  <c r="K217" i="8"/>
  <c r="F218" i="8"/>
  <c r="K218" i="8"/>
  <c r="F257" i="8"/>
  <c r="K257" i="8"/>
  <c r="F258" i="8"/>
  <c r="K258" i="8"/>
  <c r="F259" i="8"/>
  <c r="K259" i="8"/>
  <c r="F260" i="8"/>
  <c r="K260" i="8"/>
  <c r="F261" i="8"/>
  <c r="K261" i="8"/>
  <c r="F268" i="8"/>
  <c r="K268" i="8"/>
  <c r="F269" i="8"/>
  <c r="K269" i="8"/>
  <c r="F270" i="8"/>
  <c r="K270" i="8"/>
  <c r="F271" i="8"/>
  <c r="K271" i="8"/>
  <c r="F272" i="8"/>
  <c r="K272" i="8"/>
  <c r="F277" i="8"/>
  <c r="F278" i="8"/>
  <c r="F279" i="8"/>
  <c r="F280" i="8"/>
  <c r="F281" i="8"/>
  <c r="F286" i="8"/>
  <c r="K286" i="8"/>
  <c r="F287" i="8"/>
  <c r="K287" i="8"/>
  <c r="F288" i="8"/>
  <c r="K288" i="8"/>
  <c r="F289" i="8"/>
  <c r="K289" i="8"/>
  <c r="F290" i="8"/>
  <c r="K290" i="8"/>
  <c r="F299" i="8"/>
  <c r="K299" i="8"/>
  <c r="F300" i="8"/>
  <c r="K300" i="8"/>
  <c r="F301" i="8"/>
  <c r="K301" i="8"/>
  <c r="F302" i="8"/>
  <c r="K302" i="8"/>
  <c r="F303" i="8"/>
  <c r="K303" i="8"/>
  <c r="F308" i="8"/>
  <c r="K308" i="8"/>
  <c r="F309" i="8"/>
  <c r="K309" i="8"/>
  <c r="F310" i="8"/>
  <c r="K310" i="8"/>
  <c r="F311" i="8"/>
  <c r="K311" i="8"/>
  <c r="F312" i="8"/>
  <c r="K312" i="8"/>
  <c r="F320" i="8"/>
  <c r="F321" i="8"/>
  <c r="F322" i="8"/>
  <c r="F323" i="8"/>
  <c r="F324" i="8"/>
  <c r="F334" i="8"/>
  <c r="M334" i="8"/>
  <c r="F335" i="8"/>
  <c r="M335" i="8"/>
  <c r="F336" i="8"/>
  <c r="M336" i="8"/>
  <c r="F337" i="8"/>
  <c r="M337" i="8"/>
  <c r="F338" i="8"/>
  <c r="M338" i="8"/>
  <c r="F343" i="8"/>
  <c r="K343" i="8"/>
  <c r="F344" i="8"/>
  <c r="K344" i="8"/>
  <c r="F345" i="8"/>
  <c r="K345" i="8"/>
  <c r="F346" i="8"/>
  <c r="K346" i="8"/>
  <c r="F347" i="8"/>
  <c r="K347" i="8"/>
  <c r="F370" i="8"/>
  <c r="K370" i="8"/>
  <c r="F371" i="8"/>
  <c r="K371" i="8"/>
  <c r="F372" i="8"/>
  <c r="K372" i="8"/>
  <c r="F373" i="8"/>
  <c r="K373" i="8"/>
  <c r="F374" i="8"/>
  <c r="K374" i="8"/>
  <c r="F379" i="8"/>
  <c r="K379" i="8"/>
  <c r="F380" i="8"/>
  <c r="K380" i="8"/>
  <c r="F381" i="8"/>
  <c r="K381" i="8"/>
  <c r="F382" i="8"/>
  <c r="K382" i="8"/>
  <c r="F383" i="8"/>
  <c r="K383" i="8"/>
  <c r="F388" i="8"/>
  <c r="K388" i="8"/>
  <c r="F389" i="8"/>
  <c r="K389" i="8"/>
  <c r="F390" i="8"/>
  <c r="K390" i="8"/>
  <c r="F391" i="8"/>
  <c r="K391" i="8"/>
  <c r="F392" i="8"/>
  <c r="K392" i="8"/>
  <c r="F397" i="8"/>
  <c r="K397" i="8"/>
  <c r="F398" i="8"/>
  <c r="K398" i="8"/>
  <c r="F399" i="8"/>
  <c r="K399" i="8"/>
  <c r="F400" i="8"/>
  <c r="K400" i="8"/>
  <c r="F401" i="8"/>
  <c r="K401" i="8"/>
  <c r="F407" i="8"/>
  <c r="K407" i="8"/>
  <c r="F408" i="8"/>
  <c r="K408" i="8"/>
  <c r="F409" i="8"/>
  <c r="K409" i="8"/>
  <c r="F410" i="8"/>
  <c r="K410" i="8"/>
  <c r="F411" i="8"/>
  <c r="K411" i="8"/>
  <c r="F416" i="8"/>
  <c r="K416" i="8"/>
  <c r="F417" i="8"/>
  <c r="K417" i="8"/>
  <c r="F418" i="8"/>
  <c r="K418" i="8"/>
  <c r="F419" i="8"/>
  <c r="K419" i="8"/>
  <c r="F420" i="8"/>
  <c r="K420" i="8"/>
  <c r="F425" i="8"/>
  <c r="K425" i="8"/>
  <c r="F426" i="8"/>
  <c r="K426" i="8"/>
  <c r="F427" i="8"/>
  <c r="K427" i="8"/>
  <c r="F428" i="8"/>
  <c r="K428" i="8"/>
  <c r="F429" i="8"/>
  <c r="K429" i="8"/>
  <c r="F434" i="8"/>
  <c r="K434" i="8"/>
  <c r="F435" i="8"/>
  <c r="K435" i="8"/>
  <c r="F436" i="8"/>
  <c r="K436" i="8"/>
  <c r="F437" i="8"/>
  <c r="K437" i="8"/>
  <c r="F438" i="8"/>
  <c r="K438" i="8"/>
  <c r="F444" i="8"/>
  <c r="K444" i="8"/>
  <c r="F445" i="8"/>
  <c r="K445" i="8"/>
  <c r="F446" i="8"/>
  <c r="K446" i="8"/>
  <c r="F447" i="8"/>
  <c r="K447" i="8"/>
  <c r="F448" i="8"/>
  <c r="K448" i="8"/>
  <c r="N1" i="9"/>
  <c r="O3" i="9"/>
  <c r="U3" i="9"/>
  <c r="U4" i="9"/>
  <c r="U5" i="9"/>
  <c r="U6" i="9"/>
  <c r="F10" i="9"/>
  <c r="K10" i="9"/>
  <c r="F11" i="9"/>
  <c r="K11" i="9"/>
  <c r="F12" i="9"/>
  <c r="K12" i="9"/>
  <c r="F13" i="9"/>
  <c r="K13" i="9"/>
  <c r="F14" i="9"/>
  <c r="K14" i="9"/>
  <c r="F19" i="9"/>
  <c r="K19" i="9"/>
  <c r="F20" i="9"/>
  <c r="K20" i="9"/>
  <c r="F21" i="9"/>
  <c r="K21" i="9"/>
  <c r="F22" i="9"/>
  <c r="K22" i="9"/>
  <c r="F23" i="9"/>
  <c r="K23" i="9"/>
  <c r="F28" i="9"/>
  <c r="F29" i="9"/>
  <c r="F30" i="9"/>
  <c r="F31" i="9"/>
  <c r="F32" i="9"/>
  <c r="F53" i="9"/>
  <c r="F54" i="9"/>
  <c r="F55" i="9"/>
  <c r="F56" i="9"/>
  <c r="F57" i="9"/>
  <c r="F87" i="9"/>
  <c r="F131" i="9"/>
  <c r="F201" i="9"/>
  <c r="K201" i="9"/>
  <c r="F202" i="9"/>
  <c r="K202" i="9"/>
  <c r="F203" i="9"/>
  <c r="K203" i="9"/>
  <c r="F204" i="9"/>
  <c r="K204" i="9"/>
  <c r="F205" i="9"/>
  <c r="K205" i="9"/>
  <c r="F211" i="9"/>
  <c r="K211" i="9"/>
  <c r="F212" i="9"/>
  <c r="K212" i="9"/>
  <c r="F213" i="9"/>
  <c r="K213" i="9"/>
  <c r="F214" i="9"/>
  <c r="K214" i="9"/>
  <c r="F215" i="9"/>
  <c r="K215" i="9"/>
  <c r="F220" i="9"/>
  <c r="K220" i="9"/>
  <c r="F221" i="9"/>
  <c r="K221" i="9"/>
  <c r="F222" i="9"/>
  <c r="K222" i="9"/>
  <c r="F223" i="9"/>
  <c r="K223" i="9"/>
  <c r="F224" i="9"/>
  <c r="K224" i="9"/>
  <c r="F229" i="9"/>
  <c r="K229" i="9"/>
  <c r="F230" i="9"/>
  <c r="K230" i="9"/>
  <c r="F231" i="9"/>
  <c r="K231" i="9"/>
  <c r="F232" i="9"/>
  <c r="K232" i="9"/>
  <c r="F233" i="9"/>
  <c r="K233" i="9"/>
  <c r="F319" i="9"/>
  <c r="F320" i="9"/>
  <c r="F321" i="9"/>
  <c r="F322" i="9"/>
  <c r="F323" i="9"/>
  <c r="F349" i="9"/>
  <c r="K349" i="9"/>
  <c r="F350" i="9"/>
  <c r="K350" i="9"/>
  <c r="F351" i="9"/>
  <c r="K351" i="9"/>
  <c r="F352" i="9"/>
  <c r="K352" i="9"/>
  <c r="F353" i="9"/>
  <c r="K353" i="9"/>
  <c r="F358" i="9"/>
  <c r="K358" i="9"/>
  <c r="F359" i="9"/>
  <c r="K359" i="9"/>
  <c r="F360" i="9"/>
  <c r="K360" i="9"/>
  <c r="F361" i="9"/>
  <c r="K361" i="9"/>
  <c r="F362" i="9"/>
  <c r="K362" i="9"/>
  <c r="F369" i="9"/>
  <c r="M369" i="9"/>
  <c r="F370" i="9"/>
  <c r="M370" i="9"/>
  <c r="F371" i="9"/>
  <c r="M371" i="9"/>
  <c r="F372" i="9"/>
  <c r="M372" i="9"/>
  <c r="F373" i="9"/>
  <c r="M373" i="9"/>
  <c r="F379" i="9"/>
  <c r="K379" i="9"/>
  <c r="F380" i="9"/>
  <c r="K380" i="9"/>
  <c r="F381" i="9"/>
  <c r="K381" i="9"/>
  <c r="F382" i="9"/>
  <c r="K382" i="9"/>
  <c r="F383" i="9"/>
  <c r="K383" i="9"/>
  <c r="F388" i="9"/>
  <c r="K388" i="9"/>
  <c r="F389" i="9"/>
  <c r="K389" i="9"/>
  <c r="F390" i="9"/>
  <c r="K390" i="9"/>
  <c r="F391" i="9"/>
  <c r="K391" i="9"/>
  <c r="F392" i="9"/>
  <c r="K392" i="9"/>
  <c r="E397" i="9"/>
  <c r="F397" i="9"/>
  <c r="K397" i="9"/>
  <c r="F398" i="9"/>
  <c r="K398" i="9"/>
  <c r="F399" i="9"/>
  <c r="K399" i="9"/>
  <c r="F400" i="9"/>
  <c r="K400" i="9"/>
  <c r="F401" i="9"/>
  <c r="K401" i="9"/>
  <c r="N1" i="10"/>
  <c r="O3" i="10"/>
  <c r="U3" i="10"/>
  <c r="U4" i="10"/>
  <c r="U5" i="10"/>
  <c r="N1" i="11"/>
  <c r="U4" i="11"/>
  <c r="U5" i="11"/>
  <c r="F10" i="11"/>
  <c r="F11" i="11"/>
  <c r="F12" i="11"/>
  <c r="F13" i="11"/>
  <c r="F14" i="11"/>
  <c r="F77" i="11"/>
  <c r="F78" i="11"/>
  <c r="F79" i="11"/>
  <c r="F80" i="11"/>
  <c r="F81" i="11"/>
  <c r="F88" i="11"/>
  <c r="F89" i="11"/>
  <c r="F90" i="11"/>
  <c r="F91" i="11"/>
  <c r="F92" i="11"/>
  <c r="F113" i="11"/>
  <c r="F114" i="11"/>
  <c r="F115" i="11"/>
  <c r="F116" i="11"/>
  <c r="F117" i="11"/>
  <c r="M1" i="13"/>
  <c r="O3" i="13"/>
  <c r="U3" i="13"/>
  <c r="U4" i="13"/>
  <c r="U5" i="13"/>
  <c r="F9" i="13"/>
  <c r="F10" i="13"/>
  <c r="F11" i="13"/>
  <c r="F12" i="13"/>
  <c r="F13" i="13"/>
  <c r="F19" i="13"/>
  <c r="K19" i="13"/>
  <c r="F20" i="13"/>
  <c r="K20" i="13"/>
  <c r="F21" i="13"/>
  <c r="K21" i="13"/>
  <c r="F22" i="13"/>
  <c r="K22" i="13"/>
  <c r="F23" i="13"/>
  <c r="K23" i="13"/>
  <c r="M30" i="13"/>
  <c r="M31" i="13"/>
  <c r="M32" i="13"/>
  <c r="M33" i="13"/>
  <c r="M34" i="13"/>
  <c r="F56" i="13"/>
  <c r="F57" i="13"/>
  <c r="F58" i="13"/>
  <c r="F59" i="13"/>
  <c r="F60" i="13"/>
  <c r="F65" i="13"/>
  <c r="F66" i="13"/>
  <c r="F67" i="13"/>
  <c r="F68" i="13"/>
  <c r="F69" i="13"/>
  <c r="F95" i="13"/>
  <c r="F96" i="13"/>
  <c r="F97" i="13"/>
  <c r="F98" i="13"/>
  <c r="F99" i="13"/>
  <c r="F160" i="13"/>
  <c r="F161" i="13"/>
  <c r="F162" i="13"/>
  <c r="F163" i="13"/>
  <c r="F164" i="13"/>
  <c r="F282" i="13"/>
  <c r="K282" i="13"/>
  <c r="F283" i="13"/>
  <c r="K283" i="13"/>
  <c r="F284" i="13"/>
  <c r="K284" i="13"/>
  <c r="F285" i="13"/>
  <c r="K285" i="13"/>
  <c r="F286" i="13"/>
  <c r="K286" i="13"/>
  <c r="F291" i="13"/>
  <c r="F292" i="13"/>
  <c r="F293" i="13"/>
  <c r="F294" i="13"/>
  <c r="F295" i="13"/>
  <c r="N1" i="14"/>
  <c r="O3" i="14"/>
  <c r="U3" i="14"/>
  <c r="U4" i="14"/>
  <c r="U5" i="14"/>
  <c r="F23" i="14"/>
  <c r="F24" i="14"/>
  <c r="F25" i="14"/>
  <c r="F26" i="14"/>
  <c r="F27" i="14"/>
  <c r="F66" i="14"/>
  <c r="F67" i="14"/>
  <c r="F68" i="14"/>
  <c r="F69" i="14"/>
  <c r="F70" i="14"/>
  <c r="F75" i="14"/>
  <c r="F76" i="14"/>
  <c r="F77" i="14"/>
  <c r="F78" i="14"/>
  <c r="F79" i="14"/>
  <c r="F125" i="14"/>
  <c r="F126" i="14"/>
  <c r="F127" i="14"/>
  <c r="F128" i="14"/>
  <c r="F129" i="14"/>
  <c r="F151" i="14"/>
  <c r="F152" i="14"/>
  <c r="F153" i="14"/>
  <c r="F154" i="14"/>
  <c r="F155" i="14"/>
  <c r="F170" i="14"/>
  <c r="F171" i="14"/>
  <c r="F172" i="14"/>
  <c r="F173" i="14"/>
  <c r="F174" i="14"/>
  <c r="F180" i="14"/>
  <c r="F181" i="14"/>
  <c r="F182" i="14"/>
  <c r="F183" i="14"/>
  <c r="F184" i="14"/>
  <c r="F206" i="14"/>
  <c r="F207" i="14"/>
  <c r="F208" i="14"/>
  <c r="F209" i="14"/>
  <c r="F210" i="14"/>
  <c r="G13" i="15"/>
  <c r="G19" i="15" s="1"/>
  <c r="G25" i="15" s="1"/>
  <c r="G31" i="15" s="1"/>
  <c r="G37" i="15" s="1"/>
  <c r="G43" i="15" s="1"/>
  <c r="G49" i="15" s="1"/>
  <c r="G55" i="15" s="1"/>
  <c r="G14" i="15"/>
  <c r="G20" i="15" s="1"/>
  <c r="G26" i="15" s="1"/>
  <c r="G32" i="15" s="1"/>
  <c r="G38" i="15" s="1"/>
  <c r="G44" i="15" s="1"/>
  <c r="G50" i="15" s="1"/>
  <c r="G56" i="15" s="1"/>
  <c r="G15" i="15"/>
  <c r="G21" i="15" s="1"/>
  <c r="G27" i="15" s="1"/>
  <c r="G33" i="15" s="1"/>
  <c r="G39" i="15" s="1"/>
  <c r="G45" i="15" s="1"/>
  <c r="G51" i="15" s="1"/>
  <c r="G57" i="15" s="1"/>
  <c r="G16" i="15"/>
  <c r="G22" i="15" s="1"/>
  <c r="G28" i="15" s="1"/>
  <c r="G34" i="15" s="1"/>
  <c r="G40" i="15" s="1"/>
  <c r="G46" i="15" s="1"/>
  <c r="G52" i="15" s="1"/>
  <c r="G58" i="15" s="1"/>
  <c r="G17" i="15"/>
  <c r="G23" i="15" s="1"/>
  <c r="G29" i="15" s="1"/>
  <c r="G35" i="15" s="1"/>
  <c r="G41" i="15" s="1"/>
  <c r="G47" i="15" s="1"/>
  <c r="G53" i="15" s="1"/>
  <c r="G59" i="15" s="1"/>
  <c r="G18" i="15"/>
  <c r="G24" i="15" s="1"/>
  <c r="G30" i="15" s="1"/>
  <c r="G36" i="15" s="1"/>
  <c r="G42" i="15" s="1"/>
  <c r="G48" i="15" s="1"/>
  <c r="G54" i="15" s="1"/>
  <c r="G60" i="15" s="1"/>
  <c r="I76" i="15"/>
  <c r="J76" i="15"/>
  <c r="K76" i="15"/>
  <c r="O76" i="15"/>
  <c r="P76" i="15"/>
  <c r="Q76" i="15"/>
  <c r="I79" i="15"/>
  <c r="J79" i="15"/>
  <c r="K79" i="15"/>
  <c r="O79" i="15"/>
  <c r="P79" i="15"/>
  <c r="Q79" i="15"/>
  <c r="I82" i="15"/>
  <c r="J82" i="15"/>
  <c r="K82" i="15"/>
  <c r="O82" i="15"/>
  <c r="P82" i="15"/>
  <c r="Q82" i="15"/>
  <c r="I85" i="15"/>
  <c r="J85" i="15"/>
  <c r="K85" i="15"/>
  <c r="O85" i="15"/>
  <c r="P85" i="15"/>
  <c r="Q85" i="15"/>
  <c r="I88" i="15"/>
  <c r="J88" i="15"/>
  <c r="K88" i="15"/>
  <c r="O88" i="15"/>
  <c r="P88" i="15"/>
  <c r="Q88" i="15"/>
  <c r="I91" i="15"/>
  <c r="J91" i="15"/>
  <c r="K91" i="15"/>
  <c r="O91" i="15"/>
  <c r="P91" i="15"/>
  <c r="Q91" i="15"/>
  <c r="F2" i="16"/>
  <c r="F3" i="16"/>
  <c r="D7" i="16"/>
  <c r="E7" i="16" s="1"/>
  <c r="D36" i="16"/>
  <c r="E36" i="16"/>
  <c r="D38" i="16"/>
  <c r="E38" i="16"/>
  <c r="D39" i="16"/>
  <c r="E39" i="16"/>
  <c r="D41" i="16"/>
  <c r="E41" i="16"/>
  <c r="D42" i="16"/>
  <c r="E42" i="16"/>
  <c r="D43" i="16"/>
  <c r="E43" i="16"/>
  <c r="F2" i="17"/>
  <c r="F3" i="17"/>
  <c r="D7" i="17"/>
  <c r="E7" i="17" s="1"/>
  <c r="L9" i="18"/>
  <c r="W8" i="18"/>
  <c r="X8" i="18"/>
  <c r="H99" i="18"/>
  <c r="H120" i="18"/>
  <c r="L172" i="18"/>
  <c r="CF132" i="18"/>
  <c r="CF133" i="18"/>
  <c r="CF134" i="18"/>
  <c r="CF135" i="18"/>
  <c r="CF136" i="18"/>
  <c r="CF137" i="18"/>
  <c r="CF138" i="18"/>
  <c r="CF139" i="18"/>
  <c r="BA173" i="18"/>
  <c r="BB173" i="18"/>
  <c r="BC173" i="18"/>
  <c r="BD173" i="18"/>
  <c r="BE173" i="18"/>
  <c r="BF173" i="18"/>
  <c r="BG173" i="18"/>
  <c r="BH173" i="18"/>
  <c r="BI173" i="18"/>
  <c r="BJ173" i="18"/>
  <c r="BA174" i="18"/>
  <c r="BB174" i="18"/>
  <c r="BC174" i="18"/>
  <c r="BD174" i="18"/>
  <c r="BE174" i="18"/>
  <c r="BF174" i="18"/>
  <c r="BG174" i="18"/>
  <c r="BH174" i="18"/>
  <c r="BI174" i="18"/>
  <c r="BJ174" i="18"/>
  <c r="BA183" i="18"/>
  <c r="BB183" i="18"/>
  <c r="BC183" i="18"/>
  <c r="BD183" i="18"/>
  <c r="BE183" i="18"/>
  <c r="BF183" i="18"/>
  <c r="BG183" i="18"/>
  <c r="BH183" i="18"/>
  <c r="BI183" i="18"/>
  <c r="BJ183" i="18"/>
  <c r="F145" i="11" l="1"/>
  <c r="F144" i="11"/>
  <c r="F143" i="11"/>
  <c r="F147" i="11"/>
  <c r="F146" i="11"/>
  <c r="F245" i="8"/>
  <c r="F230" i="8"/>
  <c r="F243" i="8"/>
  <c r="K242" i="8"/>
  <c r="F242" i="8"/>
  <c r="K245" i="8"/>
  <c r="F241" i="8"/>
  <c r="K244" i="8"/>
  <c r="K241" i="8"/>
  <c r="K243" i="8"/>
  <c r="G197" i="15"/>
  <c r="H197" i="15" s="1"/>
  <c r="J104" i="24" s="1"/>
  <c r="G204" i="15"/>
  <c r="H204" i="15" s="1"/>
  <c r="J111" i="24" s="1"/>
  <c r="R7" i="3"/>
  <c r="D5" i="3" s="1"/>
  <c r="I95" i="15" s="1"/>
  <c r="I96" i="15" s="1"/>
  <c r="N206" i="15" s="1"/>
  <c r="F220" i="14"/>
  <c r="X193" i="5"/>
  <c r="AA193" i="5" s="1"/>
  <c r="Q193" i="5" s="1"/>
  <c r="O61" i="2"/>
  <c r="F32" i="6"/>
  <c r="J54" i="2"/>
  <c r="N54" i="2" s="1"/>
  <c r="O54" i="2" s="1"/>
  <c r="G33" i="24"/>
  <c r="F45" i="24" s="1"/>
  <c r="F54" i="24" s="1"/>
  <c r="S15" i="6"/>
  <c r="G200" i="15"/>
  <c r="H200" i="15" s="1"/>
  <c r="J107" i="24" s="1"/>
  <c r="H107" i="24"/>
  <c r="G196" i="15"/>
  <c r="H196" i="15" s="1"/>
  <c r="J103" i="24" s="1"/>
  <c r="H103" i="24"/>
  <c r="J47" i="2"/>
  <c r="G32" i="24"/>
  <c r="S8" i="6"/>
  <c r="G199" i="15"/>
  <c r="H199" i="15" s="1"/>
  <c r="J106" i="24" s="1"/>
  <c r="H106" i="24"/>
  <c r="G195" i="15"/>
  <c r="H195" i="15" s="1"/>
  <c r="J102" i="24" s="1"/>
  <c r="H102" i="24"/>
  <c r="J57" i="2"/>
  <c r="S18" i="6"/>
  <c r="J49" i="2"/>
  <c r="G285" i="9" s="1"/>
  <c r="S10" i="6"/>
  <c r="G194" i="15"/>
  <c r="H194" i="15" s="1"/>
  <c r="J101" i="24" s="1"/>
  <c r="H101" i="24"/>
  <c r="G201" i="15"/>
  <c r="H201" i="15" s="1"/>
  <c r="J108" i="24" s="1"/>
  <c r="H108" i="24"/>
  <c r="G193" i="15"/>
  <c r="H193" i="15" s="1"/>
  <c r="J100" i="24" s="1"/>
  <c r="H100" i="24"/>
  <c r="X152" i="5"/>
  <c r="AA152" i="5" s="1"/>
  <c r="Q152" i="5" s="1"/>
  <c r="N39" i="21" s="1"/>
  <c r="Q39" i="21" s="1"/>
  <c r="Q113" i="5"/>
  <c r="AE113" i="5"/>
  <c r="V113" i="5" s="1"/>
  <c r="F107" i="14"/>
  <c r="F106" i="14"/>
  <c r="K181" i="18"/>
  <c r="F105" i="14"/>
  <c r="F221" i="14"/>
  <c r="F247" i="13"/>
  <c r="X167" i="5" s="1"/>
  <c r="AA167" i="5" s="1"/>
  <c r="Q167" i="5" s="1"/>
  <c r="F331" i="9"/>
  <c r="F330" i="9"/>
  <c r="F332" i="9"/>
  <c r="F328" i="9"/>
  <c r="F329" i="9"/>
  <c r="K149" i="18"/>
  <c r="N76" i="21"/>
  <c r="Q79" i="21" s="1"/>
  <c r="H34" i="15"/>
  <c r="N34" i="15" s="1"/>
  <c r="G286" i="9"/>
  <c r="G191" i="15"/>
  <c r="H191" i="15" s="1"/>
  <c r="J98" i="24" s="1"/>
  <c r="L61" i="2"/>
  <c r="L66" i="2" s="1"/>
  <c r="O44" i="8" s="1"/>
  <c r="H40" i="15"/>
  <c r="I40" i="15" s="1"/>
  <c r="G205" i="15"/>
  <c r="H205" i="15" s="1"/>
  <c r="J112" i="24" s="1"/>
  <c r="G198" i="15"/>
  <c r="H198" i="15" s="1"/>
  <c r="J105" i="24" s="1"/>
  <c r="I26" i="6"/>
  <c r="H71" i="6"/>
  <c r="O71" i="6" s="1"/>
  <c r="I83" i="6"/>
  <c r="H48" i="6"/>
  <c r="O48" i="6" s="1"/>
  <c r="I107" i="6"/>
  <c r="I108" i="6"/>
  <c r="J38" i="6"/>
  <c r="I58" i="6"/>
  <c r="N71" i="21"/>
  <c r="Q71" i="21" s="1"/>
  <c r="N41" i="21"/>
  <c r="Q41" i="21" s="1"/>
  <c r="N55" i="21"/>
  <c r="Q34" i="21"/>
  <c r="N30" i="21"/>
  <c r="Q32" i="21" s="1"/>
  <c r="H30" i="21"/>
  <c r="K37" i="18"/>
  <c r="F67" i="10"/>
  <c r="M155" i="8"/>
  <c r="F97" i="10"/>
  <c r="F98" i="10"/>
  <c r="O13" i="6"/>
  <c r="J30" i="6"/>
  <c r="J43" i="6"/>
  <c r="H53" i="6"/>
  <c r="O53" i="6" s="1"/>
  <c r="J64" i="6"/>
  <c r="J77" i="6"/>
  <c r="H90" i="6"/>
  <c r="O90" i="6" s="1"/>
  <c r="G192" i="15"/>
  <c r="H192" i="15" s="1"/>
  <c r="J99" i="24" s="1"/>
  <c r="I33" i="6"/>
  <c r="J45" i="6"/>
  <c r="H55" i="6"/>
  <c r="O55" i="6" s="1"/>
  <c r="I68" i="6"/>
  <c r="J80" i="6"/>
  <c r="J109" i="6"/>
  <c r="H22" i="15"/>
  <c r="L22" i="15" s="1"/>
  <c r="H46" i="15"/>
  <c r="K46" i="15" s="1"/>
  <c r="J28" i="6"/>
  <c r="H41" i="6"/>
  <c r="O41" i="6" s="1"/>
  <c r="J50" i="6"/>
  <c r="J61" i="6"/>
  <c r="H74" i="6"/>
  <c r="O74" i="6" s="1"/>
  <c r="H87" i="6"/>
  <c r="O87" i="6" s="1"/>
  <c r="N10" i="15"/>
  <c r="J10" i="15"/>
  <c r="P10" i="15"/>
  <c r="L10" i="15"/>
  <c r="O10" i="15"/>
  <c r="M10" i="15"/>
  <c r="K10" i="15"/>
  <c r="Q10" i="15"/>
  <c r="I10" i="15"/>
  <c r="M40" i="15"/>
  <c r="O40" i="15"/>
  <c r="N58" i="15"/>
  <c r="J58" i="15"/>
  <c r="Q58" i="15"/>
  <c r="M58" i="15"/>
  <c r="I58" i="15"/>
  <c r="P58" i="15"/>
  <c r="L58" i="15"/>
  <c r="O58" i="15"/>
  <c r="K58" i="15"/>
  <c r="P46" i="15"/>
  <c r="L46" i="15"/>
  <c r="O46" i="15"/>
  <c r="J46" i="15"/>
  <c r="Q46" i="15"/>
  <c r="I46" i="15"/>
  <c r="Q16" i="15"/>
  <c r="M16" i="15"/>
  <c r="I16" i="15"/>
  <c r="O16" i="15"/>
  <c r="K16" i="15"/>
  <c r="J16" i="15"/>
  <c r="P16" i="15"/>
  <c r="N16" i="15"/>
  <c r="L16" i="15"/>
  <c r="J26" i="6"/>
  <c r="J31" i="6"/>
  <c r="H39" i="6"/>
  <c r="O39" i="6" s="1"/>
  <c r="H44" i="6"/>
  <c r="O44" i="6" s="1"/>
  <c r="I46" i="6"/>
  <c r="H51" i="6"/>
  <c r="O51" i="6" s="1"/>
  <c r="I56" i="6"/>
  <c r="H62" i="6"/>
  <c r="O62" i="6" s="1"/>
  <c r="J68" i="6"/>
  <c r="H78" i="6"/>
  <c r="O78" i="6" s="1"/>
  <c r="J84" i="6"/>
  <c r="J87" i="6"/>
  <c r="O104" i="6"/>
  <c r="J108" i="6"/>
  <c r="O14" i="6"/>
  <c r="O17" i="6"/>
  <c r="H28" i="6"/>
  <c r="I30" i="6"/>
  <c r="J32" i="6"/>
  <c r="I38" i="6"/>
  <c r="I40" i="6"/>
  <c r="J42" i="6"/>
  <c r="I45" i="6"/>
  <c r="J47" i="6"/>
  <c r="J49" i="6"/>
  <c r="I52" i="6"/>
  <c r="J54" i="6"/>
  <c r="J57" i="6"/>
  <c r="H61" i="6"/>
  <c r="O61" i="6" s="1"/>
  <c r="J63" i="6"/>
  <c r="H67" i="6"/>
  <c r="O67" i="6" s="1"/>
  <c r="I70" i="6"/>
  <c r="J73" i="6"/>
  <c r="I76" i="6"/>
  <c r="J79" i="6"/>
  <c r="H83" i="6"/>
  <c r="O83" i="6" s="1"/>
  <c r="H86" i="6"/>
  <c r="O86" i="6" s="1"/>
  <c r="J89" i="6"/>
  <c r="I103" i="6"/>
  <c r="O105" i="6"/>
  <c r="I109" i="6"/>
  <c r="H111" i="6"/>
  <c r="H29" i="6"/>
  <c r="H34" i="6"/>
  <c r="J41" i="6"/>
  <c r="H49" i="6"/>
  <c r="O49" i="6" s="1"/>
  <c r="I53" i="6"/>
  <c r="I59" i="6"/>
  <c r="J65" i="6"/>
  <c r="J71" i="6"/>
  <c r="I75" i="6"/>
  <c r="H81" i="6"/>
  <c r="O81" i="6" s="1"/>
  <c r="I90" i="6"/>
  <c r="I106" i="6"/>
  <c r="J111" i="6"/>
  <c r="O15" i="6"/>
  <c r="I27" i="6"/>
  <c r="H30" i="6"/>
  <c r="H32" i="6"/>
  <c r="I34" i="6"/>
  <c r="H40" i="6"/>
  <c r="O40" i="6" s="1"/>
  <c r="I42" i="6"/>
  <c r="I44" i="6"/>
  <c r="H47" i="6"/>
  <c r="O47" i="6" s="1"/>
  <c r="I49" i="6"/>
  <c r="J51" i="6"/>
  <c r="I54" i="6"/>
  <c r="J56" i="6"/>
  <c r="J59" i="6"/>
  <c r="I63" i="6"/>
  <c r="I66" i="6"/>
  <c r="H69" i="6"/>
  <c r="O69" i="6" s="1"/>
  <c r="J72" i="6"/>
  <c r="J75" i="6"/>
  <c r="H79" i="6"/>
  <c r="O79" i="6" s="1"/>
  <c r="I82" i="6"/>
  <c r="H85" i="6"/>
  <c r="O85" i="6" s="1"/>
  <c r="I88" i="6"/>
  <c r="J91" i="6"/>
  <c r="J105" i="6"/>
  <c r="J106" i="6"/>
  <c r="O109" i="6"/>
  <c r="O110" i="6"/>
  <c r="O111" i="6"/>
  <c r="K137" i="18"/>
  <c r="L77" i="18"/>
  <c r="K42" i="18"/>
  <c r="K135" i="18"/>
  <c r="N60" i="2"/>
  <c r="L76" i="18"/>
  <c r="K71" i="18"/>
  <c r="K17" i="18"/>
  <c r="K91" i="18"/>
  <c r="K155" i="18"/>
  <c r="L92" i="18"/>
  <c r="K87" i="18"/>
  <c r="K147" i="18"/>
  <c r="K86" i="18"/>
  <c r="L47" i="18"/>
  <c r="K30" i="18"/>
  <c r="K134" i="18"/>
  <c r="L69" i="18"/>
  <c r="L103" i="18"/>
  <c r="K16" i="18"/>
  <c r="K104" i="18"/>
  <c r="L19" i="18"/>
  <c r="K191" i="18"/>
  <c r="K103" i="18"/>
  <c r="K88" i="18"/>
  <c r="K18" i="18"/>
  <c r="K10" i="6"/>
  <c r="K14" i="6" s="1"/>
  <c r="K30" i="6" s="1"/>
  <c r="K57" i="18"/>
  <c r="K31" i="18"/>
  <c r="L65" i="18"/>
  <c r="K156" i="18"/>
  <c r="K81" i="18"/>
  <c r="K67" i="18"/>
  <c r="K47" i="18"/>
  <c r="K39" i="18"/>
  <c r="K136" i="18"/>
  <c r="L17" i="18"/>
  <c r="K154" i="18"/>
  <c r="K56" i="18"/>
  <c r="K44" i="18"/>
  <c r="L31" i="18"/>
  <c r="K103" i="6"/>
  <c r="K111" i="6" s="1"/>
  <c r="K106" i="18"/>
  <c r="L87" i="18"/>
  <c r="G190" i="15"/>
  <c r="H190" i="15" s="1"/>
  <c r="J97" i="24" s="1"/>
  <c r="G202" i="15"/>
  <c r="H202" i="15" s="1"/>
  <c r="J109" i="24" s="1"/>
  <c r="N56" i="2"/>
  <c r="O56" i="2" s="1"/>
  <c r="F71" i="8"/>
  <c r="K355" i="8"/>
  <c r="O11" i="6"/>
  <c r="O12" i="6"/>
  <c r="H26" i="6"/>
  <c r="J27" i="6"/>
  <c r="I29" i="6"/>
  <c r="I31" i="6"/>
  <c r="H33" i="6"/>
  <c r="J34" i="6"/>
  <c r="J39" i="6"/>
  <c r="I41" i="6"/>
  <c r="H43" i="6"/>
  <c r="O43" i="6" s="1"/>
  <c r="H45" i="6"/>
  <c r="O45" i="6" s="1"/>
  <c r="J46" i="6"/>
  <c r="I48" i="6"/>
  <c r="I50" i="6"/>
  <c r="H52" i="6"/>
  <c r="O52" i="6" s="1"/>
  <c r="J53" i="6"/>
  <c r="J55" i="6"/>
  <c r="H58" i="6"/>
  <c r="O58" i="6" s="1"/>
  <c r="I60" i="6"/>
  <c r="H63" i="6"/>
  <c r="O63" i="6" s="1"/>
  <c r="H65" i="6"/>
  <c r="O65" i="6" s="1"/>
  <c r="I67" i="6"/>
  <c r="H70" i="6"/>
  <c r="O70" i="6" s="1"/>
  <c r="I72" i="6"/>
  <c r="I74" i="6"/>
  <c r="H77" i="6"/>
  <c r="O77" i="6" s="1"/>
  <c r="I79" i="6"/>
  <c r="J81" i="6"/>
  <c r="I84" i="6"/>
  <c r="I86" i="6"/>
  <c r="J88" i="6"/>
  <c r="I91" i="6"/>
  <c r="I104" i="6"/>
  <c r="H106" i="6"/>
  <c r="O106" i="6"/>
  <c r="J107" i="6"/>
  <c r="H109" i="6"/>
  <c r="I110" i="6"/>
  <c r="J104" i="6"/>
  <c r="E86" i="17"/>
  <c r="Y8" i="18"/>
  <c r="K53" i="18"/>
  <c r="K194" i="18"/>
  <c r="K132" i="18"/>
  <c r="K141" i="18"/>
  <c r="G29" i="11"/>
  <c r="G33" i="11"/>
  <c r="G30" i="11"/>
  <c r="G31" i="11"/>
  <c r="G32" i="11"/>
  <c r="K52" i="18"/>
  <c r="K29" i="18"/>
  <c r="K23" i="18"/>
  <c r="C63" i="2"/>
  <c r="L94" i="18"/>
  <c r="L90" i="18"/>
  <c r="K60" i="18"/>
  <c r="F64" i="10"/>
  <c r="F66" i="10"/>
  <c r="F63" i="10"/>
  <c r="H28" i="4"/>
  <c r="V37" i="4"/>
  <c r="H37" i="4"/>
  <c r="H17" i="15"/>
  <c r="H29" i="15"/>
  <c r="K69" i="18"/>
  <c r="F65" i="10"/>
  <c r="K102" i="18"/>
  <c r="K22" i="18"/>
  <c r="H54" i="21"/>
  <c r="Q52" i="21" s="1"/>
  <c r="F11" i="10"/>
  <c r="F10" i="10"/>
  <c r="F12" i="10"/>
  <c r="F8" i="10"/>
  <c r="K119" i="8"/>
  <c r="M146" i="8"/>
  <c r="K128" i="8"/>
  <c r="F80" i="8"/>
  <c r="F35" i="14"/>
  <c r="F33" i="14"/>
  <c r="F34" i="14"/>
  <c r="F32" i="14"/>
  <c r="F36" i="14"/>
  <c r="K150" i="18"/>
  <c r="K65" i="18"/>
  <c r="K179" i="18"/>
  <c r="F9" i="10"/>
  <c r="K175" i="18"/>
  <c r="K97" i="18"/>
  <c r="K51" i="18"/>
  <c r="L30" i="18"/>
  <c r="K25" i="18"/>
  <c r="K19" i="18"/>
  <c r="K169" i="18"/>
  <c r="K66" i="18"/>
  <c r="K24" i="18"/>
  <c r="K187" i="18"/>
  <c r="K55" i="18"/>
  <c r="L41" i="18"/>
  <c r="K189" i="18"/>
  <c r="F104" i="14"/>
  <c r="F108" i="14"/>
  <c r="K153" i="18"/>
  <c r="F96" i="10"/>
  <c r="F100" i="10"/>
  <c r="F99" i="10"/>
  <c r="K127" i="18"/>
  <c r="O63" i="2"/>
  <c r="U33" i="6"/>
  <c r="N47" i="2"/>
  <c r="F26" i="6" s="1"/>
  <c r="L53" i="18"/>
  <c r="L24" i="18"/>
  <c r="L58" i="18"/>
  <c r="O62" i="2"/>
  <c r="I127" i="6"/>
  <c r="U33" i="4"/>
  <c r="V29" i="4"/>
  <c r="V31" i="4" s="1"/>
  <c r="U34" i="4"/>
  <c r="G44" i="8"/>
  <c r="H52" i="15"/>
  <c r="H28" i="15"/>
  <c r="H110" i="6"/>
  <c r="O108" i="6"/>
  <c r="O107" i="6"/>
  <c r="I105" i="6"/>
  <c r="H104" i="6"/>
  <c r="H103" i="6"/>
  <c r="J90" i="6"/>
  <c r="I89" i="6"/>
  <c r="H88" i="6"/>
  <c r="J86" i="6"/>
  <c r="I85" i="6"/>
  <c r="H84" i="6"/>
  <c r="J82" i="6"/>
  <c r="I81" i="6"/>
  <c r="H80" i="6"/>
  <c r="J78" i="6"/>
  <c r="I77" i="6"/>
  <c r="H76" i="6"/>
  <c r="J74" i="6"/>
  <c r="I73" i="6"/>
  <c r="H72" i="6"/>
  <c r="J70" i="6"/>
  <c r="I69" i="6"/>
  <c r="H68" i="6"/>
  <c r="J66" i="6"/>
  <c r="I65" i="6"/>
  <c r="H64" i="6"/>
  <c r="J62" i="6"/>
  <c r="I61" i="6"/>
  <c r="H60" i="6"/>
  <c r="J58" i="6"/>
  <c r="I57" i="6"/>
  <c r="H56" i="6"/>
  <c r="I111" i="6"/>
  <c r="J110" i="6"/>
  <c r="H105" i="6"/>
  <c r="J103" i="6"/>
  <c r="H91" i="6"/>
  <c r="H89" i="6"/>
  <c r="I87" i="6"/>
  <c r="J85" i="6"/>
  <c r="J83" i="6"/>
  <c r="H82" i="6"/>
  <c r="I80" i="6"/>
  <c r="I78" i="6"/>
  <c r="J76" i="6"/>
  <c r="H75" i="6"/>
  <c r="H73" i="6"/>
  <c r="I71" i="6"/>
  <c r="J69" i="6"/>
  <c r="J67" i="6"/>
  <c r="H66" i="6"/>
  <c r="I64" i="6"/>
  <c r="I62" i="6"/>
  <c r="J60" i="6"/>
  <c r="H59" i="6"/>
  <c r="H57" i="6"/>
  <c r="I55" i="6"/>
  <c r="H54" i="6"/>
  <c r="J52" i="6"/>
  <c r="I51" i="6"/>
  <c r="H50" i="6"/>
  <c r="J48" i="6"/>
  <c r="I47" i="6"/>
  <c r="H46" i="6"/>
  <c r="J44" i="6"/>
  <c r="I43" i="6"/>
  <c r="H42" i="6"/>
  <c r="J40" i="6"/>
  <c r="I39" i="6"/>
  <c r="H38" i="6"/>
  <c r="J33" i="6"/>
  <c r="I32" i="6"/>
  <c r="H31" i="6"/>
  <c r="J29" i="6"/>
  <c r="I28" i="6"/>
  <c r="H27" i="6"/>
  <c r="O18" i="6"/>
  <c r="O16" i="6"/>
  <c r="O10" i="6"/>
  <c r="H108" i="6"/>
  <c r="K144" i="18"/>
  <c r="H107" i="6"/>
  <c r="J89" i="3"/>
  <c r="K77" i="8"/>
  <c r="F90" i="8"/>
  <c r="K103" i="8"/>
  <c r="K112" i="8"/>
  <c r="F126" i="8"/>
  <c r="F146" i="8"/>
  <c r="F155" i="8"/>
  <c r="F172" i="8"/>
  <c r="F227" i="8"/>
  <c r="K250" i="8"/>
  <c r="F353" i="8"/>
  <c r="F362" i="8"/>
  <c r="K80" i="18"/>
  <c r="K85" i="18"/>
  <c r="K174" i="8"/>
  <c r="F106" i="8"/>
  <c r="L44" i="18"/>
  <c r="F86" i="14"/>
  <c r="F85" i="14"/>
  <c r="F88" i="14"/>
  <c r="F84" i="14"/>
  <c r="F87" i="14"/>
  <c r="L55" i="18"/>
  <c r="L56" i="18"/>
  <c r="K230" i="8"/>
  <c r="K93" i="8"/>
  <c r="K90" i="18"/>
  <c r="K15" i="18"/>
  <c r="F70" i="8"/>
  <c r="F72" i="8"/>
  <c r="F74" i="8"/>
  <c r="F77" i="8"/>
  <c r="F79" i="8"/>
  <c r="K87" i="8"/>
  <c r="K89" i="8"/>
  <c r="K92" i="8"/>
  <c r="K94" i="8"/>
  <c r="K96" i="8"/>
  <c r="F103" i="8"/>
  <c r="F105" i="8"/>
  <c r="F108" i="8"/>
  <c r="F110" i="8"/>
  <c r="F112" i="8"/>
  <c r="K118" i="8"/>
  <c r="K120" i="8"/>
  <c r="K122" i="8"/>
  <c r="K125" i="8"/>
  <c r="K127" i="8"/>
  <c r="M145" i="8"/>
  <c r="M147" i="8"/>
  <c r="M149" i="8"/>
  <c r="M152" i="8"/>
  <c r="M154" i="8"/>
  <c r="K171" i="8"/>
  <c r="K173" i="8"/>
  <c r="K176" i="8"/>
  <c r="K178" i="8"/>
  <c r="K180" i="8"/>
  <c r="K224" i="8"/>
  <c r="K226" i="8"/>
  <c r="K228" i="8"/>
  <c r="K231" i="8"/>
  <c r="K233" i="8"/>
  <c r="F248" i="8"/>
  <c r="F250" i="8"/>
  <c r="K354" i="8"/>
  <c r="K356" i="8"/>
  <c r="K359" i="8"/>
  <c r="K361" i="8"/>
  <c r="K363" i="8"/>
  <c r="K71" i="8"/>
  <c r="K73" i="8"/>
  <c r="K76" i="8"/>
  <c r="K78" i="8"/>
  <c r="K80" i="8"/>
  <c r="F87" i="8"/>
  <c r="F89" i="8"/>
  <c r="F92" i="8"/>
  <c r="F94" i="8"/>
  <c r="F96" i="8"/>
  <c r="K102" i="8"/>
  <c r="K104" i="8"/>
  <c r="K106" i="8"/>
  <c r="K109" i="8"/>
  <c r="K111" i="8"/>
  <c r="F118" i="8"/>
  <c r="F120" i="8"/>
  <c r="F122" i="8"/>
  <c r="F125" i="8"/>
  <c r="F127" i="8"/>
  <c r="F145" i="8"/>
  <c r="F147" i="8"/>
  <c r="F149" i="8"/>
  <c r="F152" i="8"/>
  <c r="F154" i="8"/>
  <c r="F171" i="8"/>
  <c r="F173" i="8"/>
  <c r="F176" i="8"/>
  <c r="F178" i="8"/>
  <c r="F180" i="8"/>
  <c r="F224" i="8"/>
  <c r="F226" i="8"/>
  <c r="F228" i="8"/>
  <c r="F231" i="8"/>
  <c r="F233" i="8"/>
  <c r="K247" i="8"/>
  <c r="K249" i="8"/>
  <c r="K251" i="8"/>
  <c r="F354" i="8"/>
  <c r="F356" i="8"/>
  <c r="F359" i="8"/>
  <c r="F361" i="8"/>
  <c r="F363" i="8"/>
  <c r="K70" i="8"/>
  <c r="K74" i="8"/>
  <c r="K79" i="8"/>
  <c r="F88" i="8"/>
  <c r="F93" i="8"/>
  <c r="K105" i="8"/>
  <c r="K110" i="8"/>
  <c r="F119" i="8"/>
  <c r="F124" i="8"/>
  <c r="F128" i="8"/>
  <c r="M148" i="8"/>
  <c r="M153" i="8"/>
  <c r="F170" i="8"/>
  <c r="F174" i="8"/>
  <c r="F179" i="8"/>
  <c r="F225" i="8"/>
  <c r="F234" i="8"/>
  <c r="K248" i="8"/>
  <c r="F355" i="8"/>
  <c r="F360" i="8"/>
  <c r="F73" i="8"/>
  <c r="F78" i="8"/>
  <c r="K86" i="8"/>
  <c r="K90" i="8"/>
  <c r="K95" i="8"/>
  <c r="F104" i="8"/>
  <c r="F109" i="8"/>
  <c r="K121" i="8"/>
  <c r="K126" i="8"/>
  <c r="F148" i="8"/>
  <c r="F153" i="8"/>
  <c r="K172" i="8"/>
  <c r="K177" i="8"/>
  <c r="K227" i="8"/>
  <c r="K232" i="8"/>
  <c r="F247" i="8"/>
  <c r="F251" i="8"/>
  <c r="K353" i="8"/>
  <c r="K357" i="8"/>
  <c r="K362" i="8"/>
  <c r="K170" i="18"/>
  <c r="F357" i="8"/>
  <c r="F232" i="8"/>
  <c r="F177" i="8"/>
  <c r="F151" i="8"/>
  <c r="F121" i="8"/>
  <c r="K108" i="8"/>
  <c r="F95" i="8"/>
  <c r="F86" i="8"/>
  <c r="K72" i="8"/>
  <c r="F219" i="14"/>
  <c r="F218" i="14"/>
  <c r="F217" i="14"/>
  <c r="K111" i="18"/>
  <c r="K107" i="18"/>
  <c r="L104" i="18"/>
  <c r="K92" i="18"/>
  <c r="K84" i="18"/>
  <c r="K28" i="18"/>
  <c r="F251" i="13"/>
  <c r="K109" i="18"/>
  <c r="K360" i="8"/>
  <c r="F249" i="8"/>
  <c r="K234" i="8"/>
  <c r="K225" i="8"/>
  <c r="K179" i="8"/>
  <c r="K170" i="8"/>
  <c r="M151" i="8"/>
  <c r="K124" i="8"/>
  <c r="F111" i="8"/>
  <c r="F102" i="8"/>
  <c r="K88" i="8"/>
  <c r="F76" i="8"/>
  <c r="K186" i="18"/>
  <c r="K171" i="18"/>
  <c r="L102" i="18"/>
  <c r="L51" i="18"/>
  <c r="K26" i="18"/>
  <c r="L27" i="18"/>
  <c r="K185" i="18"/>
  <c r="L50" i="18"/>
  <c r="L22" i="18"/>
  <c r="K110" i="18"/>
  <c r="K108" i="18"/>
  <c r="L95" i="18"/>
  <c r="K83" i="18"/>
  <c r="K61" i="18"/>
  <c r="K43" i="18"/>
  <c r="L57" i="18"/>
  <c r="L26" i="18"/>
  <c r="H59" i="15"/>
  <c r="H47" i="15"/>
  <c r="H35" i="15"/>
  <c r="H23" i="15"/>
  <c r="H11" i="15"/>
  <c r="H41" i="15"/>
  <c r="H53" i="15"/>
  <c r="L18" i="18"/>
  <c r="K143" i="18"/>
  <c r="W29" i="4"/>
  <c r="X29" i="4"/>
  <c r="Y29" i="4"/>
  <c r="U31" i="4"/>
  <c r="L12" i="18"/>
  <c r="L16" i="18"/>
  <c r="K140" i="18"/>
  <c r="J285" i="9"/>
  <c r="N49" i="2"/>
  <c r="N57" i="2"/>
  <c r="E77" i="17"/>
  <c r="N64" i="2" l="1"/>
  <c r="H117" i="24"/>
  <c r="V33" i="4"/>
  <c r="O34" i="15"/>
  <c r="V32" i="4"/>
  <c r="J66" i="2"/>
  <c r="K16" i="11" s="1"/>
  <c r="V34" i="4"/>
  <c r="F249" i="13"/>
  <c r="F252" i="13"/>
  <c r="F28" i="6"/>
  <c r="F250" i="13"/>
  <c r="P22" i="15"/>
  <c r="J40" i="15"/>
  <c r="L40" i="15"/>
  <c r="Q40" i="15"/>
  <c r="F248" i="13"/>
  <c r="N40" i="15"/>
  <c r="P40" i="15"/>
  <c r="K40" i="15"/>
  <c r="D63" i="16"/>
  <c r="E81" i="17"/>
  <c r="N188" i="15"/>
  <c r="E82" i="17"/>
  <c r="C19" i="2"/>
  <c r="S7" i="18" s="1"/>
  <c r="S24" i="6"/>
  <c r="U7" i="6"/>
  <c r="O64" i="2"/>
  <c r="F34" i="6"/>
  <c r="O60" i="2"/>
  <c r="F31" i="6"/>
  <c r="O28" i="11"/>
  <c r="H113" i="24"/>
  <c r="F44" i="24"/>
  <c r="G35" i="24"/>
  <c r="J113" i="24"/>
  <c r="T113" i="24"/>
  <c r="K98" i="18"/>
  <c r="L34" i="15"/>
  <c r="N46" i="15"/>
  <c r="M34" i="15"/>
  <c r="I22" i="15"/>
  <c r="Q34" i="15"/>
  <c r="N22" i="15"/>
  <c r="K152" i="18"/>
  <c r="M22" i="15"/>
  <c r="F33" i="13"/>
  <c r="N54" i="21"/>
  <c r="Q55" i="21" s="1"/>
  <c r="P34" i="15"/>
  <c r="J34" i="15"/>
  <c r="M46" i="15"/>
  <c r="Q22" i="15"/>
  <c r="O22" i="15"/>
  <c r="F30" i="13"/>
  <c r="N61" i="21"/>
  <c r="Q61" i="21" s="1"/>
  <c r="N53" i="21"/>
  <c r="Q54" i="21" s="1"/>
  <c r="N70" i="21"/>
  <c r="Q70" i="21" s="1"/>
  <c r="K22" i="15"/>
  <c r="K34" i="15"/>
  <c r="I34" i="15"/>
  <c r="J22" i="15"/>
  <c r="F32" i="13"/>
  <c r="F34" i="13"/>
  <c r="F31" i="13"/>
  <c r="L53" i="6"/>
  <c r="L71" i="6"/>
  <c r="L58" i="6"/>
  <c r="L44" i="6"/>
  <c r="L43" i="6"/>
  <c r="L61" i="6"/>
  <c r="Q56" i="21"/>
  <c r="Q29" i="21"/>
  <c r="Q30" i="21"/>
  <c r="H55" i="21"/>
  <c r="T7" i="18"/>
  <c r="BC3" i="5" s="1"/>
  <c r="BC7" i="5" s="1"/>
  <c r="AL7" i="5" s="1"/>
  <c r="Q40" i="21"/>
  <c r="K125" i="18"/>
  <c r="L52" i="6"/>
  <c r="L87" i="6"/>
  <c r="B193" i="18"/>
  <c r="B191" i="18"/>
  <c r="B189" i="18"/>
  <c r="B187" i="18"/>
  <c r="B185" i="18"/>
  <c r="B183" i="18"/>
  <c r="B180" i="18"/>
  <c r="B178" i="18"/>
  <c r="B176" i="18"/>
  <c r="B174" i="18"/>
  <c r="B172" i="18"/>
  <c r="B170" i="18"/>
  <c r="B168" i="18"/>
  <c r="B166" i="18"/>
  <c r="B156" i="18"/>
  <c r="B154" i="18"/>
  <c r="B152" i="18"/>
  <c r="B150" i="18"/>
  <c r="B148" i="18"/>
  <c r="B146" i="18"/>
  <c r="B144" i="18"/>
  <c r="B142" i="18"/>
  <c r="B140" i="18"/>
  <c r="B138" i="18"/>
  <c r="B136" i="18"/>
  <c r="B134" i="18"/>
  <c r="B132" i="18"/>
  <c r="B130" i="18"/>
  <c r="B128" i="18"/>
  <c r="B126" i="18"/>
  <c r="B124" i="18"/>
  <c r="B122" i="18"/>
  <c r="B120" i="18"/>
  <c r="B118" i="18"/>
  <c r="B116" i="18"/>
  <c r="B112" i="18"/>
  <c r="B110" i="18"/>
  <c r="B108" i="18"/>
  <c r="B106" i="18"/>
  <c r="B104" i="18"/>
  <c r="B102" i="18"/>
  <c r="B100" i="18"/>
  <c r="B98" i="18"/>
  <c r="B96" i="18"/>
  <c r="B94" i="18"/>
  <c r="B92" i="18"/>
  <c r="B90" i="18"/>
  <c r="B88" i="18"/>
  <c r="B86" i="18"/>
  <c r="B84" i="18"/>
  <c r="B82" i="18"/>
  <c r="B80" i="18"/>
  <c r="B78" i="18"/>
  <c r="B76" i="18"/>
  <c r="B74" i="18"/>
  <c r="B71" i="18"/>
  <c r="B68" i="18"/>
  <c r="B66" i="18"/>
  <c r="B64" i="18"/>
  <c r="B62" i="18"/>
  <c r="B60" i="18"/>
  <c r="B58" i="18"/>
  <c r="B56" i="18"/>
  <c r="B194" i="18"/>
  <c r="B186" i="18"/>
  <c r="B177" i="18"/>
  <c r="B169" i="18"/>
  <c r="B153" i="18"/>
  <c r="B145" i="18"/>
  <c r="B137" i="18"/>
  <c r="B129" i="18"/>
  <c r="B121" i="18"/>
  <c r="B111" i="18"/>
  <c r="B103" i="18"/>
  <c r="B95" i="18"/>
  <c r="B87" i="18"/>
  <c r="B79" i="18"/>
  <c r="B69" i="18"/>
  <c r="B61" i="18"/>
  <c r="B54" i="18"/>
  <c r="B50" i="18"/>
  <c r="B46" i="18"/>
  <c r="B42" i="18"/>
  <c r="B38" i="18"/>
  <c r="B29" i="18"/>
  <c r="B26" i="18"/>
  <c r="B21" i="18"/>
  <c r="B18" i="18"/>
  <c r="B13" i="18"/>
  <c r="B192" i="18"/>
  <c r="B184" i="18"/>
  <c r="B175" i="18"/>
  <c r="B167" i="18"/>
  <c r="B151" i="18"/>
  <c r="B143" i="18"/>
  <c r="B135" i="18"/>
  <c r="B127" i="18"/>
  <c r="B119" i="18"/>
  <c r="B109" i="18"/>
  <c r="B101" i="18"/>
  <c r="B93" i="18"/>
  <c r="B85" i="18"/>
  <c r="B77" i="18"/>
  <c r="B67" i="18"/>
  <c r="B59" i="18"/>
  <c r="B53" i="18"/>
  <c r="B45" i="18"/>
  <c r="B41" i="18"/>
  <c r="B20" i="18"/>
  <c r="B12" i="18"/>
  <c r="B10" i="18"/>
  <c r="B190" i="18"/>
  <c r="B181" i="18"/>
  <c r="B173" i="18"/>
  <c r="B157" i="18"/>
  <c r="B149" i="18"/>
  <c r="B141" i="18"/>
  <c r="B133" i="18"/>
  <c r="B125" i="18"/>
  <c r="B117" i="18"/>
  <c r="B107" i="18"/>
  <c r="B99" i="18"/>
  <c r="B91" i="18"/>
  <c r="B83" i="18"/>
  <c r="B75" i="18"/>
  <c r="B65" i="18"/>
  <c r="B57" i="18"/>
  <c r="B52" i="18"/>
  <c r="B48" i="18"/>
  <c r="B44" i="18"/>
  <c r="B40" i="18"/>
  <c r="B30" i="18"/>
  <c r="B25" i="18"/>
  <c r="B22" i="18"/>
  <c r="B17" i="18"/>
  <c r="B14" i="18"/>
  <c r="B55" i="18"/>
  <c r="B47" i="18"/>
  <c r="B36" i="18"/>
  <c r="B24" i="18"/>
  <c r="B19" i="18"/>
  <c r="B11" i="18"/>
  <c r="B9" i="18"/>
  <c r="B49" i="18"/>
  <c r="B37" i="18"/>
  <c r="B28" i="18"/>
  <c r="B23" i="18"/>
  <c r="B15" i="18"/>
  <c r="B188" i="18"/>
  <c r="B179" i="18"/>
  <c r="B171" i="18"/>
  <c r="B155" i="18"/>
  <c r="B147" i="18"/>
  <c r="B139" i="18"/>
  <c r="B131" i="18"/>
  <c r="B123" i="18"/>
  <c r="B113" i="18"/>
  <c r="B105" i="18"/>
  <c r="B97" i="18"/>
  <c r="B89" i="18"/>
  <c r="B81" i="18"/>
  <c r="B72" i="18"/>
  <c r="B63" i="18"/>
  <c r="B51" i="18"/>
  <c r="B39" i="18"/>
  <c r="B27" i="18"/>
  <c r="B16" i="18"/>
  <c r="B31" i="18"/>
  <c r="R209" i="15"/>
  <c r="R208" i="15"/>
  <c r="J121" i="6" s="1"/>
  <c r="J127" i="6" s="1"/>
  <c r="O34" i="6"/>
  <c r="U34" i="6" s="1"/>
  <c r="K54" i="2"/>
  <c r="M175" i="9"/>
  <c r="P41" i="15"/>
  <c r="P42" i="15" s="1"/>
  <c r="L41" i="15"/>
  <c r="O41" i="15"/>
  <c r="O42" i="15" s="1"/>
  <c r="K41" i="15"/>
  <c r="K42" i="15" s="1"/>
  <c r="N41" i="15"/>
  <c r="N42" i="15" s="1"/>
  <c r="J15" i="6" s="1"/>
  <c r="J41" i="15"/>
  <c r="Q41" i="15"/>
  <c r="Q42" i="15" s="1"/>
  <c r="M41" i="15"/>
  <c r="M42" i="15" s="1"/>
  <c r="I15" i="6" s="1"/>
  <c r="I41" i="15"/>
  <c r="I42" i="15" s="1"/>
  <c r="N29" i="15"/>
  <c r="J29" i="15"/>
  <c r="Q29" i="15"/>
  <c r="M29" i="15"/>
  <c r="I29" i="15"/>
  <c r="P29" i="15"/>
  <c r="L29" i="15"/>
  <c r="O29" i="15"/>
  <c r="K29" i="15"/>
  <c r="Q11" i="15"/>
  <c r="Q12" i="15" s="1"/>
  <c r="M11" i="15"/>
  <c r="I11" i="15"/>
  <c r="I12" i="15" s="1"/>
  <c r="O11" i="15"/>
  <c r="O12" i="15" s="1"/>
  <c r="K11" i="15"/>
  <c r="K12" i="15" s="1"/>
  <c r="N11" i="15"/>
  <c r="N12" i="15" s="1"/>
  <c r="J10" i="6" s="1"/>
  <c r="L11" i="15"/>
  <c r="L12" i="15" s="1"/>
  <c r="H10" i="6" s="1"/>
  <c r="L10" i="6" s="1"/>
  <c r="P11" i="15"/>
  <c r="P12" i="15" s="1"/>
  <c r="J11" i="15"/>
  <c r="J12" i="15" s="1"/>
  <c r="Q59" i="15"/>
  <c r="Q60" i="15" s="1"/>
  <c r="M59" i="15"/>
  <c r="M60" i="15" s="1"/>
  <c r="I18" i="6" s="1"/>
  <c r="I59" i="15"/>
  <c r="I60" i="15" s="1"/>
  <c r="P59" i="15"/>
  <c r="P60" i="15" s="1"/>
  <c r="L59" i="15"/>
  <c r="L60" i="15" s="1"/>
  <c r="H18" i="6" s="1"/>
  <c r="O59" i="15"/>
  <c r="O60" i="15" s="1"/>
  <c r="K59" i="15"/>
  <c r="K60" i="15" s="1"/>
  <c r="N59" i="15"/>
  <c r="N60" i="15" s="1"/>
  <c r="J18" i="6" s="1"/>
  <c r="J59" i="15"/>
  <c r="J60" i="15" s="1"/>
  <c r="L47" i="6"/>
  <c r="O28" i="15"/>
  <c r="K28" i="15"/>
  <c r="N28" i="15"/>
  <c r="J28" i="15"/>
  <c r="Q28" i="15"/>
  <c r="M28" i="15"/>
  <c r="I28" i="15"/>
  <c r="P28" i="15"/>
  <c r="L28" i="15"/>
  <c r="P17" i="15"/>
  <c r="P18" i="15" s="1"/>
  <c r="L17" i="15"/>
  <c r="L18" i="15" s="1"/>
  <c r="H11" i="6" s="1"/>
  <c r="N17" i="15"/>
  <c r="N18" i="15" s="1"/>
  <c r="J11" i="6" s="1"/>
  <c r="J17" i="15"/>
  <c r="J18" i="15" s="1"/>
  <c r="Q17" i="15"/>
  <c r="Q18" i="15" s="1"/>
  <c r="I17" i="15"/>
  <c r="I18" i="15" s="1"/>
  <c r="O17" i="15"/>
  <c r="O18" i="15" s="1"/>
  <c r="K17" i="15"/>
  <c r="K18" i="15" s="1"/>
  <c r="M17" i="15"/>
  <c r="M18" i="15" s="1"/>
  <c r="I11" i="6" s="1"/>
  <c r="L79" i="6"/>
  <c r="L63" i="6"/>
  <c r="L42" i="15"/>
  <c r="H15" i="6" s="1"/>
  <c r="O23" i="15"/>
  <c r="K23" i="15"/>
  <c r="N23" i="15"/>
  <c r="J23" i="15"/>
  <c r="Q23" i="15"/>
  <c r="M23" i="15"/>
  <c r="I23" i="15"/>
  <c r="L23" i="15"/>
  <c r="L24" i="15" s="1"/>
  <c r="H12" i="6" s="1"/>
  <c r="P23" i="15"/>
  <c r="P24" i="15" s="1"/>
  <c r="O52" i="15"/>
  <c r="K52" i="15"/>
  <c r="N52" i="15"/>
  <c r="J52" i="15"/>
  <c r="Q52" i="15"/>
  <c r="M52" i="15"/>
  <c r="I52" i="15"/>
  <c r="P52" i="15"/>
  <c r="L52" i="15"/>
  <c r="L49" i="6"/>
  <c r="M12" i="15"/>
  <c r="I10" i="6" s="1"/>
  <c r="O47" i="15"/>
  <c r="O48" i="15" s="1"/>
  <c r="K47" i="15"/>
  <c r="K48" i="15" s="1"/>
  <c r="N47" i="15"/>
  <c r="J47" i="15"/>
  <c r="J48" i="15" s="1"/>
  <c r="Q47" i="15"/>
  <c r="Q48" i="15" s="1"/>
  <c r="M47" i="15"/>
  <c r="I47" i="15"/>
  <c r="I48" i="15" s="1"/>
  <c r="P47" i="15"/>
  <c r="P48" i="15" s="1"/>
  <c r="L47" i="15"/>
  <c r="L48" i="15" s="1"/>
  <c r="H16" i="6" s="1"/>
  <c r="N53" i="15"/>
  <c r="J53" i="15"/>
  <c r="Q53" i="15"/>
  <c r="M53" i="15"/>
  <c r="I53" i="15"/>
  <c r="P53" i="15"/>
  <c r="L53" i="15"/>
  <c r="O53" i="15"/>
  <c r="K53" i="15"/>
  <c r="Q35" i="15"/>
  <c r="M35" i="15"/>
  <c r="I35" i="15"/>
  <c r="P35" i="15"/>
  <c r="L35" i="15"/>
  <c r="L36" i="15" s="1"/>
  <c r="H14" i="6" s="1"/>
  <c r="L14" i="6" s="1"/>
  <c r="O35" i="15"/>
  <c r="O36" i="15" s="1"/>
  <c r="K35" i="15"/>
  <c r="N35" i="15"/>
  <c r="N36" i="15" s="1"/>
  <c r="J14" i="6" s="1"/>
  <c r="J35" i="15"/>
  <c r="L83" i="6"/>
  <c r="L90" i="6"/>
  <c r="L86" i="6"/>
  <c r="L45" i="6"/>
  <c r="L41" i="6"/>
  <c r="L111" i="6"/>
  <c r="L67" i="6"/>
  <c r="L40" i="6"/>
  <c r="L51" i="6"/>
  <c r="L77" i="6"/>
  <c r="K110" i="6"/>
  <c r="L110" i="6" s="1"/>
  <c r="K12" i="6"/>
  <c r="K13" i="6"/>
  <c r="K18" i="6"/>
  <c r="K11" i="6"/>
  <c r="K27" i="6" s="1"/>
  <c r="K26" i="6"/>
  <c r="L26" i="6" s="1"/>
  <c r="R26" i="6" s="1"/>
  <c r="K17" i="6"/>
  <c r="K15" i="6"/>
  <c r="K31" i="6" s="1"/>
  <c r="K119" i="18"/>
  <c r="K176" i="18"/>
  <c r="K105" i="6"/>
  <c r="L105" i="6" s="1"/>
  <c r="K106" i="6"/>
  <c r="L106" i="6" s="1"/>
  <c r="K104" i="6"/>
  <c r="L104" i="6" s="1"/>
  <c r="K16" i="6"/>
  <c r="K107" i="6"/>
  <c r="L107" i="6" s="1"/>
  <c r="K108" i="6"/>
  <c r="L108" i="6" s="1"/>
  <c r="K109" i="6"/>
  <c r="L109" i="6" s="1"/>
  <c r="L103" i="6"/>
  <c r="O47" i="2"/>
  <c r="F29" i="6"/>
  <c r="Z7" i="18"/>
  <c r="BI3" i="5" s="1"/>
  <c r="BF7" i="5" s="1"/>
  <c r="AO7" i="5" s="1"/>
  <c r="L48" i="6"/>
  <c r="L74" i="6"/>
  <c r="L39" i="6"/>
  <c r="L55" i="6"/>
  <c r="L62" i="6"/>
  <c r="L65" i="6"/>
  <c r="L70" i="6"/>
  <c r="L81" i="6"/>
  <c r="O66" i="2"/>
  <c r="L69" i="6"/>
  <c r="L85" i="6"/>
  <c r="L78" i="6"/>
  <c r="C188" i="18"/>
  <c r="C143" i="18"/>
  <c r="C142" i="18"/>
  <c r="C144" i="18"/>
  <c r="C141" i="18"/>
  <c r="V7" i="18"/>
  <c r="BE3" i="5" s="1"/>
  <c r="BE7" i="5" s="1"/>
  <c r="AN7" i="5" s="1"/>
  <c r="L33" i="6"/>
  <c r="D6" i="17"/>
  <c r="E6" i="17" s="1"/>
  <c r="E78" i="17" s="1"/>
  <c r="F276" i="9"/>
  <c r="X95" i="5" s="1"/>
  <c r="AA95" i="5" s="1"/>
  <c r="Q95" i="5" s="1"/>
  <c r="O33" i="6"/>
  <c r="L50" i="6"/>
  <c r="O50" i="6"/>
  <c r="O91" i="6"/>
  <c r="L91" i="6"/>
  <c r="L60" i="6"/>
  <c r="O60" i="6"/>
  <c r="L76" i="6"/>
  <c r="O76" i="6"/>
  <c r="K113" i="18"/>
  <c r="R33" i="6"/>
  <c r="J90" i="3"/>
  <c r="E87" i="17"/>
  <c r="O95" i="15"/>
  <c r="U96" i="15" s="1"/>
  <c r="L46" i="6"/>
  <c r="O46" i="6"/>
  <c r="O57" i="6"/>
  <c r="L57" i="6"/>
  <c r="L56" i="6"/>
  <c r="O56" i="6"/>
  <c r="L72" i="6"/>
  <c r="O72" i="6"/>
  <c r="L88" i="6"/>
  <c r="O88" i="6"/>
  <c r="O32" i="6"/>
  <c r="L32" i="6"/>
  <c r="U32" i="6"/>
  <c r="R32" i="6"/>
  <c r="K49" i="2"/>
  <c r="O42" i="6"/>
  <c r="L42" i="6"/>
  <c r="O59" i="6"/>
  <c r="L59" i="6"/>
  <c r="O66" i="6"/>
  <c r="L66" i="6"/>
  <c r="O73" i="6"/>
  <c r="L73" i="6"/>
  <c r="O68" i="6"/>
  <c r="L68" i="6"/>
  <c r="O84" i="6"/>
  <c r="L84" i="6"/>
  <c r="C13" i="18"/>
  <c r="C16" i="18"/>
  <c r="C20" i="18"/>
  <c r="C22" i="18"/>
  <c r="C25" i="18"/>
  <c r="C28" i="18"/>
  <c r="C34" i="18"/>
  <c r="C36" i="18"/>
  <c r="C39" i="18"/>
  <c r="C41" i="18"/>
  <c r="C47" i="18"/>
  <c r="C51" i="18"/>
  <c r="C57" i="18"/>
  <c r="C140" i="18"/>
  <c r="C19" i="18"/>
  <c r="C21" i="18"/>
  <c r="C26" i="18"/>
  <c r="C31" i="18"/>
  <c r="C37" i="18"/>
  <c r="C43" i="18"/>
  <c r="C44" i="18"/>
  <c r="C52" i="18"/>
  <c r="C53" i="18"/>
  <c r="C56" i="18"/>
  <c r="C59" i="18"/>
  <c r="C62" i="18"/>
  <c r="C65" i="18"/>
  <c r="C68" i="18"/>
  <c r="C79" i="18"/>
  <c r="C86" i="18"/>
  <c r="C87" i="18"/>
  <c r="C91" i="18"/>
  <c r="C96" i="18"/>
  <c r="C98" i="18"/>
  <c r="C102" i="18"/>
  <c r="C105" i="18"/>
  <c r="C121" i="18"/>
  <c r="C123" i="18"/>
  <c r="C125" i="18"/>
  <c r="C126" i="18"/>
  <c r="C127" i="18"/>
  <c r="C128" i="18"/>
  <c r="C129" i="18"/>
  <c r="C130" i="18"/>
  <c r="C131" i="18"/>
  <c r="C139" i="18"/>
  <c r="C149" i="18"/>
  <c r="C152" i="18"/>
  <c r="C155" i="18"/>
  <c r="C166" i="18"/>
  <c r="C171" i="18"/>
  <c r="C173" i="18"/>
  <c r="C178" i="18"/>
  <c r="C186" i="18"/>
  <c r="C190" i="18"/>
  <c r="C192" i="18"/>
  <c r="C10" i="18"/>
  <c r="C17" i="18"/>
  <c r="C27" i="18"/>
  <c r="C40" i="18"/>
  <c r="C42" i="18"/>
  <c r="C46" i="18"/>
  <c r="C49" i="18"/>
  <c r="C50" i="18"/>
  <c r="C60" i="18"/>
  <c r="C63" i="18"/>
  <c r="C67" i="18"/>
  <c r="C74" i="18"/>
  <c r="C78" i="18"/>
  <c r="C85" i="18"/>
  <c r="C90" i="18"/>
  <c r="C93" i="18"/>
  <c r="C111" i="18"/>
  <c r="C116" i="18"/>
  <c r="C119" i="18"/>
  <c r="C122" i="18"/>
  <c r="C134" i="18"/>
  <c r="C147" i="18"/>
  <c r="C156" i="18"/>
  <c r="C176" i="18"/>
  <c r="C180" i="18"/>
  <c r="C194" i="18"/>
  <c r="C11" i="18"/>
  <c r="C18" i="18"/>
  <c r="C29" i="18"/>
  <c r="C33" i="18"/>
  <c r="C45" i="18"/>
  <c r="C58" i="18"/>
  <c r="C64" i="18"/>
  <c r="C72" i="18"/>
  <c r="C77" i="18"/>
  <c r="C84" i="18"/>
  <c r="C108" i="18"/>
  <c r="C113" i="18"/>
  <c r="C118" i="18"/>
  <c r="C15" i="18"/>
  <c r="C35" i="18"/>
  <c r="C66" i="18"/>
  <c r="C71" i="18"/>
  <c r="C80" i="18"/>
  <c r="C99" i="18"/>
  <c r="C12" i="18"/>
  <c r="C30" i="18"/>
  <c r="C76" i="18"/>
  <c r="C82" i="18"/>
  <c r="C88" i="18"/>
  <c r="C103" i="18"/>
  <c r="C157" i="18"/>
  <c r="C167" i="18"/>
  <c r="C168" i="18"/>
  <c r="C169" i="18"/>
  <c r="C170" i="18"/>
  <c r="C172" i="18"/>
  <c r="C174" i="18"/>
  <c r="C181" i="18"/>
  <c r="C187" i="18"/>
  <c r="C38" i="18"/>
  <c r="C54" i="18"/>
  <c r="C55" i="18"/>
  <c r="C61" i="18"/>
  <c r="C69" i="18"/>
  <c r="C81" i="18"/>
  <c r="C83" i="18"/>
  <c r="C94" i="18"/>
  <c r="C97" i="18"/>
  <c r="C101" i="18"/>
  <c r="C106" i="18"/>
  <c r="C109" i="18"/>
  <c r="C112" i="18"/>
  <c r="C117" i="18"/>
  <c r="C120" i="18"/>
  <c r="C124" i="18"/>
  <c r="C135" i="18"/>
  <c r="C138" i="18"/>
  <c r="C145" i="18"/>
  <c r="C146" i="18"/>
  <c r="C148" i="18"/>
  <c r="C150" i="18"/>
  <c r="C9" i="18"/>
  <c r="C23" i="18"/>
  <c r="C48" i="18"/>
  <c r="C92" i="18"/>
  <c r="C95" i="18"/>
  <c r="C104" i="18"/>
  <c r="C110" i="18"/>
  <c r="C151" i="18"/>
  <c r="C153" i="18"/>
  <c r="C154" i="18"/>
  <c r="C14" i="18"/>
  <c r="C107" i="18"/>
  <c r="C133" i="18"/>
  <c r="C137" i="18"/>
  <c r="C24" i="18"/>
  <c r="C175" i="18"/>
  <c r="C89" i="18"/>
  <c r="C177" i="18"/>
  <c r="C179" i="18"/>
  <c r="C189" i="18"/>
  <c r="C191" i="18"/>
  <c r="C184" i="18"/>
  <c r="C185" i="18"/>
  <c r="C193" i="18"/>
  <c r="C100" i="18"/>
  <c r="C132" i="18"/>
  <c r="C183" i="18"/>
  <c r="C75" i="18"/>
  <c r="C136" i="18"/>
  <c r="O26" i="6"/>
  <c r="U26" i="6" s="1"/>
  <c r="K118" i="18"/>
  <c r="O38" i="6"/>
  <c r="L38" i="6"/>
  <c r="L54" i="6"/>
  <c r="O54" i="6"/>
  <c r="O75" i="6"/>
  <c r="L75" i="6"/>
  <c r="O82" i="6"/>
  <c r="L82" i="6"/>
  <c r="O89" i="6"/>
  <c r="L89" i="6"/>
  <c r="L64" i="6"/>
  <c r="O64" i="6"/>
  <c r="O80" i="6"/>
  <c r="L80" i="6"/>
  <c r="Y33" i="4"/>
  <c r="Y34" i="4"/>
  <c r="K56" i="2"/>
  <c r="K62" i="2"/>
  <c r="K66" i="2"/>
  <c r="K57" i="2"/>
  <c r="K61" i="2"/>
  <c r="I266" i="9"/>
  <c r="F298" i="9"/>
  <c r="X96" i="5" s="1"/>
  <c r="AA96" i="5" s="1"/>
  <c r="Q96" i="5" s="1"/>
  <c r="D17" i="4"/>
  <c r="G266" i="9"/>
  <c r="K266" i="9"/>
  <c r="M78" i="9"/>
  <c r="M122" i="9"/>
  <c r="K64" i="2"/>
  <c r="K180" i="18"/>
  <c r="K193" i="18"/>
  <c r="L129" i="18"/>
  <c r="L31" i="6"/>
  <c r="U31" i="6"/>
  <c r="R31" i="6"/>
  <c r="O31" i="6"/>
  <c r="R28" i="6"/>
  <c r="O28" i="6"/>
  <c r="U28" i="6"/>
  <c r="L28" i="6"/>
  <c r="O57" i="2"/>
  <c r="F30" i="6"/>
  <c r="K60" i="2"/>
  <c r="R207" i="15"/>
  <c r="J120" i="6" s="1"/>
  <c r="D62" i="16" s="1"/>
  <c r="X32" i="4"/>
  <c r="X33" i="4"/>
  <c r="X34" i="4"/>
  <c r="K47" i="2"/>
  <c r="O49" i="2"/>
  <c r="F27" i="6"/>
  <c r="R191" i="15"/>
  <c r="L98" i="24" s="1"/>
  <c r="R205" i="15"/>
  <c r="L112" i="24" s="1"/>
  <c r="R203" i="15"/>
  <c r="L110" i="24" s="1"/>
  <c r="R201" i="15"/>
  <c r="L108" i="24" s="1"/>
  <c r="R199" i="15"/>
  <c r="L106" i="24" s="1"/>
  <c r="R197" i="15"/>
  <c r="L104" i="24" s="1"/>
  <c r="R195" i="15"/>
  <c r="L102" i="24" s="1"/>
  <c r="R193" i="15"/>
  <c r="L100" i="24" s="1"/>
  <c r="R190" i="15"/>
  <c r="L97" i="24" s="1"/>
  <c r="R202" i="15"/>
  <c r="L109" i="24" s="1"/>
  <c r="R198" i="15"/>
  <c r="L105" i="24" s="1"/>
  <c r="R194" i="15"/>
  <c r="L101" i="24" s="1"/>
  <c r="R196" i="15"/>
  <c r="L103" i="24" s="1"/>
  <c r="R192" i="15"/>
  <c r="L99" i="24" s="1"/>
  <c r="R204" i="15"/>
  <c r="L111" i="24" s="1"/>
  <c r="R200" i="15"/>
  <c r="L107" i="24" s="1"/>
  <c r="W33" i="4"/>
  <c r="W34" i="4"/>
  <c r="W32" i="4"/>
  <c r="K167" i="18"/>
  <c r="W7" i="18" l="1"/>
  <c r="BF3" i="5" s="1"/>
  <c r="BI7" i="5" s="1"/>
  <c r="AR7" i="5" s="1"/>
  <c r="M24" i="15"/>
  <c r="I12" i="6" s="1"/>
  <c r="U7" i="18"/>
  <c r="BD3" i="5" s="1"/>
  <c r="BD7" i="5" s="1"/>
  <c r="AM7" i="5" s="1"/>
  <c r="X7" i="18"/>
  <c r="BG3" i="5" s="1"/>
  <c r="BJ7" i="5" s="1"/>
  <c r="AS7" i="5" s="1"/>
  <c r="J42" i="15"/>
  <c r="AB7" i="18"/>
  <c r="BK3" i="5" s="1"/>
  <c r="BH7" i="5" s="1"/>
  <c r="AQ7" i="5" s="1"/>
  <c r="D6" i="16"/>
  <c r="E6" i="16" s="1"/>
  <c r="AA7" i="18"/>
  <c r="BJ3" i="5" s="1"/>
  <c r="BG7" i="5" s="1"/>
  <c r="AP7" i="5" s="1"/>
  <c r="D10" i="21"/>
  <c r="M44" i="8"/>
  <c r="F44" i="8" s="1"/>
  <c r="Y7" i="18"/>
  <c r="BH3" i="5" s="1"/>
  <c r="BK7" i="5" s="1"/>
  <c r="AT7" i="5" s="1"/>
  <c r="L113" i="24"/>
  <c r="J118" i="6" s="1"/>
  <c r="BB3" i="5"/>
  <c r="BB7" i="5" s="1"/>
  <c r="M115" i="18"/>
  <c r="M32" i="18"/>
  <c r="H33" i="24"/>
  <c r="H34" i="24"/>
  <c r="H32" i="24"/>
  <c r="K77" i="24"/>
  <c r="J54" i="15"/>
  <c r="F53" i="24"/>
  <c r="F56" i="24" s="1"/>
  <c r="F47" i="24"/>
  <c r="F18" i="6"/>
  <c r="F86" i="6" s="1"/>
  <c r="F14" i="6"/>
  <c r="F10" i="6"/>
  <c r="F13" i="6"/>
  <c r="F17" i="6"/>
  <c r="F16" i="6"/>
  <c r="O24" i="6" s="1"/>
  <c r="O133" i="6" s="1"/>
  <c r="F12" i="6"/>
  <c r="F50" i="6" s="1"/>
  <c r="F15" i="6"/>
  <c r="F11" i="6"/>
  <c r="F104" i="6" s="1"/>
  <c r="F118" i="6"/>
  <c r="H47" i="11"/>
  <c r="H118" i="24"/>
  <c r="G15" i="24"/>
  <c r="J47" i="11"/>
  <c r="P93" i="24"/>
  <c r="H118" i="6" s="1"/>
  <c r="N48" i="15"/>
  <c r="J16" i="6" s="1"/>
  <c r="M36" i="15"/>
  <c r="I14" i="6" s="1"/>
  <c r="F277" i="9"/>
  <c r="K36" i="15"/>
  <c r="I24" i="15"/>
  <c r="P36" i="15"/>
  <c r="O24" i="15"/>
  <c r="I36" i="15"/>
  <c r="J24" i="15"/>
  <c r="M30" i="15"/>
  <c r="I13" i="6" s="1"/>
  <c r="N24" i="15"/>
  <c r="J12" i="6" s="1"/>
  <c r="J36" i="15"/>
  <c r="Q36" i="15"/>
  <c r="K24" i="15"/>
  <c r="P30" i="15"/>
  <c r="M51" i="21"/>
  <c r="M48" i="15"/>
  <c r="I16" i="6" s="1"/>
  <c r="Q24" i="15"/>
  <c r="N51" i="21"/>
  <c r="Q53" i="21"/>
  <c r="F105" i="6"/>
  <c r="Y49" i="4"/>
  <c r="Z49" i="4" s="1"/>
  <c r="K30" i="15"/>
  <c r="I54" i="15"/>
  <c r="I30" i="15"/>
  <c r="M54" i="15"/>
  <c r="I17" i="6" s="1"/>
  <c r="K54" i="15"/>
  <c r="L54" i="15"/>
  <c r="H17" i="6" s="1"/>
  <c r="L17" i="6" s="1"/>
  <c r="Q54" i="15"/>
  <c r="O54" i="15"/>
  <c r="L18" i="6"/>
  <c r="N54" i="15"/>
  <c r="J17" i="6" s="1"/>
  <c r="P54" i="15"/>
  <c r="L30" i="15"/>
  <c r="H13" i="6" s="1"/>
  <c r="L13" i="6" s="1"/>
  <c r="Q30" i="15"/>
  <c r="O30" i="15"/>
  <c r="J30" i="15"/>
  <c r="N30" i="15"/>
  <c r="J13" i="6" s="1"/>
  <c r="L16" i="6"/>
  <c r="L12" i="6"/>
  <c r="K29" i="6"/>
  <c r="K28" i="6"/>
  <c r="AK7" i="5"/>
  <c r="BA124" i="5"/>
  <c r="AY124" i="5" s="1"/>
  <c r="AU124" i="5" s="1"/>
  <c r="BA100" i="5"/>
  <c r="AY100" i="5" s="1"/>
  <c r="AU100" i="5" s="1"/>
  <c r="BA117" i="5"/>
  <c r="AY117" i="5" s="1"/>
  <c r="AU117" i="5" s="1"/>
  <c r="K34" i="6"/>
  <c r="L34" i="6" s="1"/>
  <c r="R34" i="6" s="1"/>
  <c r="AA12" i="6"/>
  <c r="AE7" i="18"/>
  <c r="AC7" i="18"/>
  <c r="AD7" i="18"/>
  <c r="L15" i="6"/>
  <c r="L11" i="6"/>
  <c r="K33" i="6"/>
  <c r="K32" i="6"/>
  <c r="G18" i="11"/>
  <c r="R29" i="6"/>
  <c r="F280" i="9"/>
  <c r="L121" i="6"/>
  <c r="F281" i="9"/>
  <c r="L29" i="6"/>
  <c r="F278" i="9"/>
  <c r="U29" i="6"/>
  <c r="E80" i="17"/>
  <c r="E57" i="17" s="1"/>
  <c r="O29" i="6"/>
  <c r="F279" i="9"/>
  <c r="O67" i="2"/>
  <c r="C21" i="2" s="1"/>
  <c r="M142" i="18"/>
  <c r="AG142" i="5" s="1"/>
  <c r="M11" i="18"/>
  <c r="M14" i="18"/>
  <c r="AG14" i="5" s="1"/>
  <c r="M130" i="18"/>
  <c r="AG130" i="5" s="1"/>
  <c r="M143" i="18"/>
  <c r="M34" i="18"/>
  <c r="M51" i="18"/>
  <c r="M94" i="18"/>
  <c r="AG94" i="5" s="1"/>
  <c r="M121" i="18"/>
  <c r="AG121" i="5" s="1"/>
  <c r="M55" i="18"/>
  <c r="AG55" i="5" s="1"/>
  <c r="M180" i="18"/>
  <c r="M152" i="18"/>
  <c r="M155" i="18"/>
  <c r="AG155" i="5" s="1"/>
  <c r="M20" i="18"/>
  <c r="AG20" i="5" s="1"/>
  <c r="M21" i="18"/>
  <c r="AG21" i="5" s="1"/>
  <c r="M47" i="18"/>
  <c r="AG47" i="5" s="1"/>
  <c r="M190" i="18"/>
  <c r="E7" i="18"/>
  <c r="D7" i="18" s="1"/>
  <c r="M9" i="18"/>
  <c r="AG9" i="5" s="1"/>
  <c r="M136" i="18"/>
  <c r="AG136" i="5" s="1"/>
  <c r="M87" i="18"/>
  <c r="AG87" i="5" s="1"/>
  <c r="M150" i="18"/>
  <c r="M83" i="18"/>
  <c r="F107" i="6"/>
  <c r="F62" i="6"/>
  <c r="L27" i="6"/>
  <c r="U35" i="6"/>
  <c r="U27" i="6"/>
  <c r="R27" i="6"/>
  <c r="O27" i="6"/>
  <c r="R35" i="6"/>
  <c r="O30" i="6"/>
  <c r="U30" i="6"/>
  <c r="L30" i="6"/>
  <c r="R30" i="6" s="1"/>
  <c r="F109" i="6"/>
  <c r="J126" i="6"/>
  <c r="F299" i="9"/>
  <c r="F303" i="9"/>
  <c r="F302" i="9"/>
  <c r="F301" i="9"/>
  <c r="F300" i="9"/>
  <c r="F103" i="6"/>
  <c r="F38" i="6"/>
  <c r="F111" i="6"/>
  <c r="F80" i="6"/>
  <c r="F110" i="6"/>
  <c r="F56" i="6"/>
  <c r="F106" i="6"/>
  <c r="D61" i="16"/>
  <c r="F68" i="6"/>
  <c r="F108" i="6"/>
  <c r="F257" i="9"/>
  <c r="X94" i="5" s="1"/>
  <c r="AA94" i="5" s="1"/>
  <c r="Q94" i="5" s="1"/>
  <c r="M95" i="18" l="1"/>
  <c r="AG95" i="5" s="1"/>
  <c r="M64" i="18"/>
  <c r="AG64" i="5" s="1"/>
  <c r="M74" i="18"/>
  <c r="AG74" i="5" s="1"/>
  <c r="M35" i="18"/>
  <c r="AG35" i="5" s="1"/>
  <c r="M156" i="18"/>
  <c r="J158" i="13" s="1"/>
  <c r="J157" i="13" s="1"/>
  <c r="M98" i="18"/>
  <c r="M68" i="18"/>
  <c r="AG68" i="5" s="1"/>
  <c r="M49" i="18"/>
  <c r="AG49" i="5" s="1"/>
  <c r="M33" i="18"/>
  <c r="M17" i="18"/>
  <c r="J99" i="8" s="1"/>
  <c r="M10" i="18"/>
  <c r="AG10" i="5" s="1"/>
  <c r="M89" i="18"/>
  <c r="AG89" i="5" s="1"/>
  <c r="M106" i="18"/>
  <c r="AG106" i="5" s="1"/>
  <c r="M185" i="18"/>
  <c r="M154" i="18"/>
  <c r="M36" i="18"/>
  <c r="AG36" i="5" s="1"/>
  <c r="M181" i="18"/>
  <c r="AG181" i="5" s="1"/>
  <c r="M103" i="18"/>
  <c r="AG103" i="5" s="1"/>
  <c r="M65" i="18"/>
  <c r="M81" i="18"/>
  <c r="AG81" i="5" s="1"/>
  <c r="M45" i="18"/>
  <c r="AG45" i="5" s="1"/>
  <c r="BA146" i="5"/>
  <c r="AY146" i="5" s="1"/>
  <c r="AU146" i="5" s="1"/>
  <c r="BA62" i="5"/>
  <c r="BA166" i="5"/>
  <c r="AY166" i="5" s="1"/>
  <c r="AU166" i="5" s="1"/>
  <c r="M114" i="18"/>
  <c r="M165" i="18"/>
  <c r="M44" i="18"/>
  <c r="M151" i="18"/>
  <c r="AG151" i="5" s="1"/>
  <c r="M117" i="18"/>
  <c r="AG117" i="5" s="1"/>
  <c r="M39" i="18"/>
  <c r="AG39" i="5" s="1"/>
  <c r="M13" i="18"/>
  <c r="AG13" i="5" s="1"/>
  <c r="M100" i="18"/>
  <c r="AG100" i="5" s="1"/>
  <c r="M77" i="18"/>
  <c r="M58" i="18"/>
  <c r="M53" i="18"/>
  <c r="AG53" i="5" s="1"/>
  <c r="M54" i="18"/>
  <c r="AG54" i="5" s="1"/>
  <c r="M57" i="18"/>
  <c r="AG57" i="5" s="1"/>
  <c r="M101" i="18"/>
  <c r="AG101" i="5" s="1"/>
  <c r="M24" i="18"/>
  <c r="AG24" i="5" s="1"/>
  <c r="M16" i="18"/>
  <c r="AG16" i="5" s="1"/>
  <c r="M75" i="18"/>
  <c r="M91" i="18"/>
  <c r="M23" i="18"/>
  <c r="AG23" i="5" s="1"/>
  <c r="M140" i="18"/>
  <c r="M72" i="18"/>
  <c r="J60" i="9" s="1"/>
  <c r="F61" i="9" s="1"/>
  <c r="M60" i="18"/>
  <c r="M193" i="18"/>
  <c r="BA116" i="5"/>
  <c r="AY116" i="5" s="1"/>
  <c r="AU116" i="5" s="1"/>
  <c r="BA173" i="5"/>
  <c r="BA20" i="5"/>
  <c r="M164" i="18"/>
  <c r="M161" i="18"/>
  <c r="M126" i="18"/>
  <c r="AG126" i="5" s="1"/>
  <c r="M118" i="18"/>
  <c r="M29" i="18"/>
  <c r="M139" i="18"/>
  <c r="AG139" i="5" s="1"/>
  <c r="M125" i="18"/>
  <c r="AG125" i="5" s="1"/>
  <c r="M12" i="18"/>
  <c r="M107" i="18"/>
  <c r="M67" i="18"/>
  <c r="AG67" i="5" s="1"/>
  <c r="M62" i="18"/>
  <c r="AG62" i="5" s="1"/>
  <c r="M66" i="18"/>
  <c r="M113" i="18"/>
  <c r="M147" i="18"/>
  <c r="G147" i="18" s="1"/>
  <c r="M41" i="18"/>
  <c r="M50" i="18"/>
  <c r="M85" i="18"/>
  <c r="M122" i="18"/>
  <c r="AG122" i="5" s="1"/>
  <c r="M25" i="18"/>
  <c r="J185" i="8" s="1"/>
  <c r="J184" i="8" s="1"/>
  <c r="M119" i="18"/>
  <c r="M141" i="18"/>
  <c r="M188" i="18"/>
  <c r="AG188" i="5" s="1"/>
  <c r="M145" i="18"/>
  <c r="AG145" i="5" s="1"/>
  <c r="M131" i="18"/>
  <c r="AG131" i="5" s="1"/>
  <c r="BA113" i="5"/>
  <c r="AY113" i="5" s="1"/>
  <c r="AU113" i="5" s="1"/>
  <c r="BA63" i="5"/>
  <c r="M160" i="18"/>
  <c r="G160" i="18" s="1"/>
  <c r="F74" i="6"/>
  <c r="M31" i="18"/>
  <c r="AG31" i="5" s="1"/>
  <c r="M18" i="18"/>
  <c r="G18" i="18" s="1"/>
  <c r="M105" i="18"/>
  <c r="AG105" i="5" s="1"/>
  <c r="M84" i="18"/>
  <c r="M61" i="18"/>
  <c r="M110" i="18"/>
  <c r="M102" i="18"/>
  <c r="AG102" i="5" s="1"/>
  <c r="M69" i="18"/>
  <c r="M79" i="18"/>
  <c r="AG79" i="5" s="1"/>
  <c r="M124" i="18"/>
  <c r="AG124" i="5" s="1"/>
  <c r="M63" i="18"/>
  <c r="AG63" i="5" s="1"/>
  <c r="M175" i="18"/>
  <c r="AG175" i="5" s="1"/>
  <c r="M149" i="18"/>
  <c r="M71" i="18"/>
  <c r="M178" i="18"/>
  <c r="G178" i="18" s="1"/>
  <c r="M116" i="18"/>
  <c r="M96" i="18"/>
  <c r="AG96" i="5" s="1"/>
  <c r="M132" i="18"/>
  <c r="AG132" i="5" s="1"/>
  <c r="M48" i="18"/>
  <c r="AG48" i="5" s="1"/>
  <c r="M183" i="18"/>
  <c r="AG183" i="5" s="1"/>
  <c r="BA78" i="5"/>
  <c r="AY78" i="5" s="1"/>
  <c r="AU78" i="5" s="1"/>
  <c r="BA151" i="5"/>
  <c r="AY151" i="5" s="1"/>
  <c r="AU151" i="5" s="1"/>
  <c r="BA10" i="5"/>
  <c r="AY10" i="5" s="1"/>
  <c r="AU10" i="5" s="1"/>
  <c r="M70" i="18"/>
  <c r="M189" i="18"/>
  <c r="M168" i="18"/>
  <c r="AG168" i="5" s="1"/>
  <c r="M166" i="18"/>
  <c r="AG166" i="5" s="1"/>
  <c r="M37" i="18"/>
  <c r="M27" i="18"/>
  <c r="M88" i="18"/>
  <c r="M176" i="18"/>
  <c r="J30" i="14" s="1"/>
  <c r="J29" i="14" s="1"/>
  <c r="M184" i="18"/>
  <c r="AG184" i="5" s="1"/>
  <c r="M76" i="18"/>
  <c r="AG76" i="5" s="1"/>
  <c r="M86" i="18"/>
  <c r="O218" i="9" s="1"/>
  <c r="O217" i="9" s="1"/>
  <c r="M82" i="18"/>
  <c r="AG82" i="5" s="1"/>
  <c r="M78" i="18"/>
  <c r="AG78" i="5" s="1"/>
  <c r="M192" i="18"/>
  <c r="AG192" i="5" s="1"/>
  <c r="M120" i="18"/>
  <c r="M123" i="18"/>
  <c r="AG123" i="5" s="1"/>
  <c r="M172" i="18"/>
  <c r="AG172" i="5" s="1"/>
  <c r="M157" i="18"/>
  <c r="AG157" i="5" s="1"/>
  <c r="M144" i="18"/>
  <c r="O141" i="11" s="1"/>
  <c r="M127" i="18"/>
  <c r="AG127" i="5" s="1"/>
  <c r="M111" i="18"/>
  <c r="M133" i="18"/>
  <c r="AG133" i="5" s="1"/>
  <c r="BA48" i="5"/>
  <c r="BA123" i="5"/>
  <c r="M73" i="18"/>
  <c r="M162" i="18"/>
  <c r="M80" i="18"/>
  <c r="G80" i="18" s="1"/>
  <c r="M135" i="18"/>
  <c r="AG135" i="5" s="1"/>
  <c r="M19" i="18"/>
  <c r="AG19" i="5" s="1"/>
  <c r="M129" i="18"/>
  <c r="M104" i="18"/>
  <c r="AG104" i="5" s="1"/>
  <c r="M169" i="18"/>
  <c r="AG169" i="5" s="1"/>
  <c r="M38" i="18"/>
  <c r="AG38" i="5" s="1"/>
  <c r="M22" i="18"/>
  <c r="M191" i="18"/>
  <c r="AG191" i="5" s="1"/>
  <c r="M186" i="18"/>
  <c r="M93" i="18"/>
  <c r="AG93" i="5" s="1"/>
  <c r="M109" i="18"/>
  <c r="AG109" i="5" s="1"/>
  <c r="M108" i="18"/>
  <c r="M99" i="18"/>
  <c r="G99" i="18" s="1"/>
  <c r="M43" i="18"/>
  <c r="M146" i="18"/>
  <c r="AG146" i="5" s="1"/>
  <c r="M167" i="18"/>
  <c r="AG167" i="5" s="1"/>
  <c r="M173" i="18"/>
  <c r="AG173" i="5" s="1"/>
  <c r="M30" i="18"/>
  <c r="AG30" i="5" s="1"/>
  <c r="M170" i="18"/>
  <c r="M138" i="18"/>
  <c r="AG138" i="5" s="1"/>
  <c r="M153" i="18"/>
  <c r="AG153" i="5" s="1"/>
  <c r="M134" i="18"/>
  <c r="BA138" i="5"/>
  <c r="AY138" i="5" s="1"/>
  <c r="AU138" i="5" s="1"/>
  <c r="BA174" i="5"/>
  <c r="AY174" i="5" s="1"/>
  <c r="AU174" i="5" s="1"/>
  <c r="M163" i="18"/>
  <c r="M158" i="18"/>
  <c r="M90" i="18"/>
  <c r="M56" i="18"/>
  <c r="AG56" i="5" s="1"/>
  <c r="M128" i="18"/>
  <c r="AG128" i="5" s="1"/>
  <c r="M177" i="18"/>
  <c r="AG177" i="5" s="1"/>
  <c r="M174" i="18"/>
  <c r="AG174" i="5" s="1"/>
  <c r="M59" i="18"/>
  <c r="AG59" i="5" s="1"/>
  <c r="M26" i="18"/>
  <c r="M15" i="18"/>
  <c r="G15" i="18" s="1"/>
  <c r="M194" i="18"/>
  <c r="AG194" i="5" s="1"/>
  <c r="M97" i="18"/>
  <c r="M137" i="18"/>
  <c r="AG137" i="5" s="1"/>
  <c r="M171" i="18"/>
  <c r="M112" i="18"/>
  <c r="AG112" i="5" s="1"/>
  <c r="M92" i="18"/>
  <c r="G92" i="18" s="1"/>
  <c r="M148" i="18"/>
  <c r="AG148" i="5" s="1"/>
  <c r="M179" i="18"/>
  <c r="M40" i="18"/>
  <c r="AG40" i="5" s="1"/>
  <c r="M52" i="18"/>
  <c r="AG52" i="5" s="1"/>
  <c r="M28" i="18"/>
  <c r="AG28" i="5" s="1"/>
  <c r="M46" i="18"/>
  <c r="M187" i="18"/>
  <c r="M42" i="18"/>
  <c r="AG42" i="5" s="1"/>
  <c r="BA129" i="5"/>
  <c r="BA35" i="5"/>
  <c r="BA183" i="5"/>
  <c r="AY183" i="5" s="1"/>
  <c r="AU183" i="5" s="1"/>
  <c r="M159" i="18"/>
  <c r="M182" i="18"/>
  <c r="G182" i="18" s="1"/>
  <c r="F44" i="6"/>
  <c r="F45" i="6" s="1"/>
  <c r="F52" i="6"/>
  <c r="F55" i="6"/>
  <c r="F53" i="6"/>
  <c r="F51" i="6"/>
  <c r="F54" i="6"/>
  <c r="G83" i="18"/>
  <c r="AG83" i="5"/>
  <c r="G150" i="18"/>
  <c r="AG150" i="5"/>
  <c r="G84" i="18"/>
  <c r="AG84" i="5"/>
  <c r="J187" i="14"/>
  <c r="F188" i="14" s="1"/>
  <c r="AG190" i="5"/>
  <c r="G61" i="18"/>
  <c r="AG61" i="5"/>
  <c r="G110" i="18"/>
  <c r="AG110" i="5"/>
  <c r="J347" i="9"/>
  <c r="J36" i="9"/>
  <c r="AG69" i="5"/>
  <c r="G152" i="18"/>
  <c r="AG152" i="5"/>
  <c r="J28" i="13"/>
  <c r="J27" i="13" s="1"/>
  <c r="J27" i="11"/>
  <c r="G180" i="18"/>
  <c r="AG180" i="5"/>
  <c r="G149" i="18"/>
  <c r="AG149" i="5"/>
  <c r="G71" i="18"/>
  <c r="AG71" i="5"/>
  <c r="AG178" i="5"/>
  <c r="AG116" i="5"/>
  <c r="J36" i="10"/>
  <c r="G143" i="18"/>
  <c r="AG143" i="5"/>
  <c r="AG11" i="5"/>
  <c r="J7" i="8"/>
  <c r="N182" i="18"/>
  <c r="H182" i="18" s="1"/>
  <c r="N114" i="18"/>
  <c r="H114" i="18" s="1"/>
  <c r="N73" i="18"/>
  <c r="N115" i="18"/>
  <c r="N32" i="18"/>
  <c r="H32" i="18" s="1"/>
  <c r="N70" i="18"/>
  <c r="N161" i="18"/>
  <c r="N165" i="18"/>
  <c r="N158" i="18"/>
  <c r="H158" i="18" s="1"/>
  <c r="N162" i="18"/>
  <c r="N159" i="18"/>
  <c r="N163" i="18"/>
  <c r="N160" i="18"/>
  <c r="N164" i="18"/>
  <c r="J28" i="11"/>
  <c r="J93" i="24"/>
  <c r="AG73" i="5"/>
  <c r="G73" i="18"/>
  <c r="AG114" i="5"/>
  <c r="G114" i="18"/>
  <c r="G162" i="18"/>
  <c r="AG162" i="5"/>
  <c r="O195" i="13"/>
  <c r="O194" i="13" s="1"/>
  <c r="J226" i="13"/>
  <c r="J225" i="13" s="1"/>
  <c r="G165" i="18"/>
  <c r="AG165" i="5"/>
  <c r="J178" i="14"/>
  <c r="J177" i="14" s="1"/>
  <c r="AG189" i="5"/>
  <c r="J266" i="8"/>
  <c r="AG37" i="5"/>
  <c r="AG156" i="5"/>
  <c r="J326" i="9"/>
  <c r="J325" i="9" s="1"/>
  <c r="AG98" i="5"/>
  <c r="G88" i="18"/>
  <c r="AG88" i="5"/>
  <c r="G176" i="18"/>
  <c r="AG86" i="5"/>
  <c r="G185" i="18"/>
  <c r="AG185" i="5"/>
  <c r="J63" i="13"/>
  <c r="J62" i="13" s="1"/>
  <c r="AG154" i="5"/>
  <c r="G65" i="18"/>
  <c r="AG65" i="5"/>
  <c r="G111" i="18"/>
  <c r="AG111" i="5"/>
  <c r="L35" i="24"/>
  <c r="J35" i="24"/>
  <c r="N35" i="24"/>
  <c r="H35" i="24"/>
  <c r="M35" i="24"/>
  <c r="K35" i="24"/>
  <c r="G163" i="18"/>
  <c r="AG163" i="5"/>
  <c r="J204" i="13"/>
  <c r="J203" i="13" s="1"/>
  <c r="G164" i="18"/>
  <c r="O204" i="13"/>
  <c r="O203" i="13" s="1"/>
  <c r="AG164" i="5"/>
  <c r="AG158" i="5"/>
  <c r="G158" i="18"/>
  <c r="G161" i="18"/>
  <c r="J195" i="13"/>
  <c r="J194" i="13" s="1"/>
  <c r="AG161" i="5"/>
  <c r="G44" i="18"/>
  <c r="AG44" i="5"/>
  <c r="AG129" i="5"/>
  <c r="O46" i="11"/>
  <c r="J44" i="11" s="1"/>
  <c r="G169" i="18"/>
  <c r="G22" i="18"/>
  <c r="AG22" i="5"/>
  <c r="G186" i="18"/>
  <c r="AG186" i="5"/>
  <c r="J423" i="8"/>
  <c r="G108" i="18"/>
  <c r="AG108" i="5"/>
  <c r="J78" i="9"/>
  <c r="AG75" i="5"/>
  <c r="G140" i="18"/>
  <c r="AG140" i="5"/>
  <c r="G170" i="18"/>
  <c r="AG170" i="5"/>
  <c r="J442" i="8"/>
  <c r="J441" i="8" s="1"/>
  <c r="AG60" i="5"/>
  <c r="J215" i="14"/>
  <c r="AG193" i="5"/>
  <c r="T96" i="24"/>
  <c r="G159" i="18"/>
  <c r="AG159" i="5"/>
  <c r="J186" i="13"/>
  <c r="J185" i="13" s="1"/>
  <c r="AG160" i="5"/>
  <c r="AG182" i="5"/>
  <c r="G118" i="18"/>
  <c r="AG118" i="5"/>
  <c r="J61" i="10"/>
  <c r="O377" i="9"/>
  <c r="O376" i="9" s="1"/>
  <c r="AG107" i="5"/>
  <c r="G97" i="18"/>
  <c r="AG97" i="5"/>
  <c r="J17" i="9"/>
  <c r="AG66" i="5"/>
  <c r="J7" i="11"/>
  <c r="AG113" i="5"/>
  <c r="J6" i="10"/>
  <c r="G171" i="18"/>
  <c r="AG171" i="5"/>
  <c r="AG147" i="5"/>
  <c r="G50" i="18"/>
  <c r="AG50" i="5"/>
  <c r="G85" i="18"/>
  <c r="AG85" i="5"/>
  <c r="G179" i="18"/>
  <c r="AG179" i="5"/>
  <c r="AG25" i="5"/>
  <c r="AG119" i="5"/>
  <c r="J94" i="10"/>
  <c r="G141" i="18"/>
  <c r="AG141" i="5"/>
  <c r="G187" i="18"/>
  <c r="I184" i="18" s="1"/>
  <c r="D185" i="18" s="1"/>
  <c r="AB185" i="5" s="1"/>
  <c r="AG187" i="5"/>
  <c r="H15" i="24"/>
  <c r="H16" i="24"/>
  <c r="G32" i="18"/>
  <c r="AG32" i="5"/>
  <c r="G70" i="18"/>
  <c r="AG70" i="5"/>
  <c r="AG115" i="5"/>
  <c r="G115" i="18"/>
  <c r="I114" i="18" s="1"/>
  <c r="D115" i="18" s="1"/>
  <c r="AB115" i="5" s="1"/>
  <c r="G134" i="18"/>
  <c r="AG134" i="5"/>
  <c r="G120" i="18"/>
  <c r="AG120" i="5"/>
  <c r="O237" i="9"/>
  <c r="O236" i="9" s="1"/>
  <c r="AG91" i="5"/>
  <c r="J237" i="9"/>
  <c r="J236" i="9" s="1"/>
  <c r="AG90" i="5"/>
  <c r="J175" i="9"/>
  <c r="F176" i="9" s="1"/>
  <c r="X77" i="5" s="1"/>
  <c r="AA77" i="5" s="1"/>
  <c r="Q77" i="5" s="1"/>
  <c r="AG77" i="5"/>
  <c r="G58" i="18"/>
  <c r="AG58" i="5"/>
  <c r="G51" i="18"/>
  <c r="AG51" i="5"/>
  <c r="G46" i="18"/>
  <c r="AG46" i="5"/>
  <c r="G43" i="18"/>
  <c r="AG43" i="5"/>
  <c r="G41" i="18"/>
  <c r="AG41" i="5"/>
  <c r="O255" i="8"/>
  <c r="O254" i="8" s="1"/>
  <c r="AG34" i="5"/>
  <c r="G33" i="18"/>
  <c r="AG33" i="5"/>
  <c r="G29" i="18"/>
  <c r="AG29" i="5"/>
  <c r="G28" i="18"/>
  <c r="G26" i="18"/>
  <c r="AG26" i="5"/>
  <c r="G27" i="18"/>
  <c r="AG27" i="5"/>
  <c r="K95" i="18"/>
  <c r="G95" i="18" s="1"/>
  <c r="AG6" i="5"/>
  <c r="N65" i="21"/>
  <c r="H78" i="21"/>
  <c r="Q77" i="21" s="1"/>
  <c r="H76" i="21"/>
  <c r="Q75" i="21" s="1"/>
  <c r="H53" i="21"/>
  <c r="N84" i="21"/>
  <c r="Q84" i="21" s="1"/>
  <c r="H75" i="21"/>
  <c r="Q74" i="21" s="1"/>
  <c r="N35" i="21"/>
  <c r="N83" i="21"/>
  <c r="H77" i="21"/>
  <c r="Q76" i="21" s="1"/>
  <c r="F189" i="14"/>
  <c r="D12" i="4"/>
  <c r="D12" i="21"/>
  <c r="N12" i="18"/>
  <c r="N91" i="18"/>
  <c r="AI91" i="5" s="1"/>
  <c r="N113" i="18"/>
  <c r="N152" i="18"/>
  <c r="N75" i="18"/>
  <c r="AI75" i="5" s="1"/>
  <c r="N137" i="18"/>
  <c r="AI137" i="5" s="1"/>
  <c r="N128" i="18"/>
  <c r="F179" i="9"/>
  <c r="F181" i="9"/>
  <c r="F180" i="9"/>
  <c r="F178" i="9"/>
  <c r="F125" i="6"/>
  <c r="N174" i="18"/>
  <c r="N62" i="18"/>
  <c r="N179" i="18"/>
  <c r="H179" i="18" s="1"/>
  <c r="N109" i="18"/>
  <c r="AI109" i="5" s="1"/>
  <c r="N45" i="18"/>
  <c r="N33" i="18"/>
  <c r="N191" i="18"/>
  <c r="AI191" i="5" s="1"/>
  <c r="N190" i="18"/>
  <c r="N80" i="18"/>
  <c r="N129" i="18"/>
  <c r="AI129" i="5" s="1"/>
  <c r="G22" i="11"/>
  <c r="AY48" i="5"/>
  <c r="AU48" i="5" s="1"/>
  <c r="AY20" i="5"/>
  <c r="AU20" i="5" s="1"/>
  <c r="N48" i="18"/>
  <c r="N83" i="18"/>
  <c r="AI83" i="5" s="1"/>
  <c r="N173" i="18"/>
  <c r="AI173" i="5" s="1"/>
  <c r="N85" i="18"/>
  <c r="N52" i="18"/>
  <c r="N39" i="18"/>
  <c r="AI39" i="5" s="1"/>
  <c r="N25" i="18"/>
  <c r="AI25" i="5" s="1"/>
  <c r="N126" i="18"/>
  <c r="AI126" i="5" s="1"/>
  <c r="AY35" i="5"/>
  <c r="AU35" i="5" s="1"/>
  <c r="AY63" i="5"/>
  <c r="AU63" i="5" s="1"/>
  <c r="N187" i="18"/>
  <c r="AI187" i="5" s="1"/>
  <c r="N35" i="18"/>
  <c r="N146" i="18"/>
  <c r="N97" i="18"/>
  <c r="AI97" i="5" s="1"/>
  <c r="N147" i="18"/>
  <c r="AI147" i="5" s="1"/>
  <c r="N105" i="18"/>
  <c r="AI105" i="5" s="1"/>
  <c r="N167" i="18"/>
  <c r="AI167" i="5" s="1"/>
  <c r="N18" i="18"/>
  <c r="H18" i="18" s="1"/>
  <c r="L24" i="6"/>
  <c r="L133" i="6" s="1"/>
  <c r="E9" i="16" s="1"/>
  <c r="H16" i="14" s="1"/>
  <c r="N145" i="18"/>
  <c r="N10" i="18"/>
  <c r="N104" i="18"/>
  <c r="N63" i="18"/>
  <c r="N103" i="18"/>
  <c r="AI103" i="5" s="1"/>
  <c r="N168" i="18"/>
  <c r="AI168" i="5" s="1"/>
  <c r="AI166" i="5" s="1"/>
  <c r="N46" i="18"/>
  <c r="N66" i="18"/>
  <c r="N36" i="18"/>
  <c r="AI36" i="5" s="1"/>
  <c r="N50" i="18"/>
  <c r="N89" i="18"/>
  <c r="AI89" i="5" s="1"/>
  <c r="N38" i="18"/>
  <c r="N29" i="18"/>
  <c r="N13" i="18"/>
  <c r="O32" i="8" s="1"/>
  <c r="K33" i="8" s="1"/>
  <c r="Y13" i="5" s="1"/>
  <c r="N157" i="18"/>
  <c r="N125" i="18"/>
  <c r="N123" i="18"/>
  <c r="N176" i="18"/>
  <c r="AI176" i="5" s="1"/>
  <c r="N102" i="18"/>
  <c r="AI102" i="5" s="1"/>
  <c r="N149" i="18"/>
  <c r="N135" i="18"/>
  <c r="AI135" i="5" s="1"/>
  <c r="N110" i="18"/>
  <c r="N183" i="18"/>
  <c r="N81" i="18"/>
  <c r="AI81" i="5" s="1"/>
  <c r="N184" i="18"/>
  <c r="AI184" i="5" s="1"/>
  <c r="N87" i="18"/>
  <c r="N171" i="18"/>
  <c r="AI171" i="5" s="1"/>
  <c r="N54" i="18"/>
  <c r="AI54" i="5" s="1"/>
  <c r="N11" i="18"/>
  <c r="N24" i="18"/>
  <c r="N47" i="18"/>
  <c r="N82" i="18"/>
  <c r="AI82" i="5" s="1"/>
  <c r="N188" i="18"/>
  <c r="AI188" i="5" s="1"/>
  <c r="N14" i="18"/>
  <c r="AI14" i="5" s="1"/>
  <c r="N78" i="18"/>
  <c r="N111" i="18"/>
  <c r="AI111" i="5" s="1"/>
  <c r="N117" i="18"/>
  <c r="N189" i="18"/>
  <c r="AI189" i="5" s="1"/>
  <c r="N108" i="18"/>
  <c r="AI108" i="5" s="1"/>
  <c r="N175" i="18"/>
  <c r="AI175" i="5" s="1"/>
  <c r="N121" i="18"/>
  <c r="AI121" i="5" s="1"/>
  <c r="N59" i="18"/>
  <c r="AI59" i="5" s="1"/>
  <c r="N177" i="18"/>
  <c r="AI177" i="5" s="1"/>
  <c r="N107" i="18"/>
  <c r="N93" i="18"/>
  <c r="AI93" i="5" s="1"/>
  <c r="N151" i="18"/>
  <c r="N86" i="18"/>
  <c r="AI86" i="5" s="1"/>
  <c r="N40" i="18"/>
  <c r="AI40" i="5" s="1"/>
  <c r="N49" i="18"/>
  <c r="AI49" i="5" s="1"/>
  <c r="N41" i="18"/>
  <c r="AI41" i="5" s="1"/>
  <c r="N65" i="18"/>
  <c r="N150" i="18"/>
  <c r="AI150" i="5" s="1"/>
  <c r="N92" i="18"/>
  <c r="AI92" i="5" s="1"/>
  <c r="N69" i="18"/>
  <c r="AI69" i="5" s="1"/>
  <c r="N56" i="18"/>
  <c r="N28" i="18"/>
  <c r="AI28" i="5" s="1"/>
  <c r="N144" i="18"/>
  <c r="H144" i="18" s="1"/>
  <c r="N30" i="18"/>
  <c r="AI30" i="5" s="1"/>
  <c r="N26" i="18"/>
  <c r="AI26" i="5" s="1"/>
  <c r="N118" i="18"/>
  <c r="N156" i="18"/>
  <c r="AI156" i="5" s="1"/>
  <c r="N143" i="18"/>
  <c r="H143" i="18" s="1"/>
  <c r="N127" i="18"/>
  <c r="AI127" i="5" s="1"/>
  <c r="N178" i="18"/>
  <c r="H178" i="18" s="1"/>
  <c r="N185" i="18"/>
  <c r="AI185" i="5" s="1"/>
  <c r="N166" i="18"/>
  <c r="N148" i="18"/>
  <c r="AI148" i="5" s="1"/>
  <c r="N134" i="18"/>
  <c r="N186" i="18"/>
  <c r="AI186" i="5" s="1"/>
  <c r="N88" i="18"/>
  <c r="AI88" i="5" s="1"/>
  <c r="N136" i="18"/>
  <c r="AI136" i="5" s="1"/>
  <c r="N68" i="18"/>
  <c r="AI68" i="5" s="1"/>
  <c r="N72" i="18"/>
  <c r="N98" i="18"/>
  <c r="AI98" i="5" s="1"/>
  <c r="N60" i="18"/>
  <c r="N42" i="18"/>
  <c r="AI42" i="5" s="1"/>
  <c r="N142" i="18"/>
  <c r="AI142" i="5" s="1"/>
  <c r="N17" i="18"/>
  <c r="AI17" i="5" s="1"/>
  <c r="N170" i="18"/>
  <c r="N194" i="18"/>
  <c r="N139" i="18"/>
  <c r="AI139" i="5" s="1"/>
  <c r="AI138" i="5" s="1"/>
  <c r="N122" i="18"/>
  <c r="N112" i="18"/>
  <c r="AI112" i="5" s="1"/>
  <c r="N116" i="18"/>
  <c r="AI116" i="5" s="1"/>
  <c r="N64" i="18"/>
  <c r="AI64" i="5" s="1"/>
  <c r="N71" i="18"/>
  <c r="AI71" i="5" s="1"/>
  <c r="N94" i="18"/>
  <c r="AI94" i="5" s="1"/>
  <c r="N79" i="18"/>
  <c r="AI79" i="5" s="1"/>
  <c r="N58" i="18"/>
  <c r="N140" i="18"/>
  <c r="H140" i="18" s="1"/>
  <c r="N23" i="18"/>
  <c r="AI23" i="5" s="1"/>
  <c r="N27" i="18"/>
  <c r="N9" i="18"/>
  <c r="AI9" i="5" s="1"/>
  <c r="N16" i="18"/>
  <c r="AI16" i="5" s="1"/>
  <c r="N153" i="18"/>
  <c r="N124" i="18"/>
  <c r="AI124" i="5" s="1"/>
  <c r="N55" i="18"/>
  <c r="AI55" i="5" s="1"/>
  <c r="N181" i="18"/>
  <c r="N51" i="18"/>
  <c r="N133" i="18"/>
  <c r="AI133" i="5" s="1"/>
  <c r="N20" i="18"/>
  <c r="N100" i="18"/>
  <c r="N138" i="18"/>
  <c r="N84" i="18"/>
  <c r="AI84" i="5" s="1"/>
  <c r="N172" i="18"/>
  <c r="AI172" i="5" s="1"/>
  <c r="N101" i="18"/>
  <c r="AI101" i="5" s="1"/>
  <c r="N193" i="18"/>
  <c r="N130" i="18"/>
  <c r="N106" i="18"/>
  <c r="N192" i="18"/>
  <c r="AI192" i="5" s="1"/>
  <c r="N180" i="18"/>
  <c r="H180" i="18" s="1"/>
  <c r="N131" i="18"/>
  <c r="N95" i="18"/>
  <c r="AI95" i="5" s="1"/>
  <c r="N76" i="18"/>
  <c r="N169" i="18"/>
  <c r="AI169" i="5" s="1"/>
  <c r="N132" i="18"/>
  <c r="AI132" i="5" s="1"/>
  <c r="N74" i="18"/>
  <c r="AI74" i="5" s="1"/>
  <c r="N34" i="18"/>
  <c r="N53" i="18"/>
  <c r="N19" i="18"/>
  <c r="AI19" i="5" s="1"/>
  <c r="N77" i="18"/>
  <c r="N61" i="18"/>
  <c r="N22" i="18"/>
  <c r="AI22" i="5" s="1"/>
  <c r="N96" i="18"/>
  <c r="AI96" i="5" s="1"/>
  <c r="N90" i="18"/>
  <c r="N67" i="18"/>
  <c r="AI67" i="5" s="1"/>
  <c r="N57" i="18"/>
  <c r="AI57" i="5" s="1"/>
  <c r="N37" i="18"/>
  <c r="N119" i="18"/>
  <c r="AI119" i="5" s="1"/>
  <c r="N44" i="18"/>
  <c r="AI44" i="5" s="1"/>
  <c r="N31" i="18"/>
  <c r="N154" i="18"/>
  <c r="AI154" i="5" s="1"/>
  <c r="N21" i="18"/>
  <c r="AI21" i="5" s="1"/>
  <c r="N43" i="18"/>
  <c r="N15" i="18"/>
  <c r="AI15" i="5" s="1"/>
  <c r="N155" i="18"/>
  <c r="N141" i="18"/>
  <c r="H141" i="18" s="1"/>
  <c r="G20" i="11"/>
  <c r="G21" i="11"/>
  <c r="G19" i="11"/>
  <c r="F47" i="6"/>
  <c r="E50" i="16"/>
  <c r="E79" i="17"/>
  <c r="J149" i="14"/>
  <c r="J148" i="14" s="1"/>
  <c r="O121" i="6"/>
  <c r="F127" i="6"/>
  <c r="L127" i="6" s="1"/>
  <c r="AI6" i="5"/>
  <c r="G66" i="18"/>
  <c r="F48" i="6"/>
  <c r="J21" i="14"/>
  <c r="J20" i="14" s="1"/>
  <c r="G104" i="18"/>
  <c r="F49" i="6"/>
  <c r="D5" i="16"/>
  <c r="E5" i="16" s="1"/>
  <c r="G193" i="18"/>
  <c r="F46" i="6"/>
  <c r="D5" i="17"/>
  <c r="E5" i="17" s="1"/>
  <c r="G133" i="18"/>
  <c r="J168" i="14"/>
  <c r="J167" i="14" s="1"/>
  <c r="J141" i="11"/>
  <c r="J306" i="8"/>
  <c r="J340" i="8"/>
  <c r="J395" i="9"/>
  <c r="J394" i="9" s="1"/>
  <c r="G19" i="18"/>
  <c r="J221" i="8"/>
  <c r="J17" i="13"/>
  <c r="J16" i="13" s="1"/>
  <c r="J432" i="8"/>
  <c r="G24" i="18"/>
  <c r="G23" i="18"/>
  <c r="G135" i="18"/>
  <c r="G175" i="18"/>
  <c r="J51" i="9"/>
  <c r="J50" i="9" s="1"/>
  <c r="J297" i="9"/>
  <c r="J296" i="9" s="1"/>
  <c r="G37" i="18"/>
  <c r="O386" i="9"/>
  <c r="O385" i="9" s="1"/>
  <c r="G127" i="18"/>
  <c r="G60" i="18"/>
  <c r="I59" i="18" s="1"/>
  <c r="J414" i="8"/>
  <c r="G403" i="8" s="1"/>
  <c r="J280" i="13"/>
  <c r="J279" i="13" s="1"/>
  <c r="G125" i="18"/>
  <c r="G31" i="18"/>
  <c r="G16" i="18"/>
  <c r="J209" i="9"/>
  <c r="J208" i="9" s="1"/>
  <c r="G53" i="18"/>
  <c r="I139" i="18"/>
  <c r="D140" i="18" s="1"/>
  <c r="AB140" i="5" s="1"/>
  <c r="J170" i="13"/>
  <c r="F171" i="13" s="1"/>
  <c r="X157" i="5" s="1"/>
  <c r="AA157" i="5" s="1"/>
  <c r="Q157" i="5" s="1"/>
  <c r="G81" i="18"/>
  <c r="O280" i="13"/>
  <c r="O279" i="13" s="1"/>
  <c r="G109" i="18"/>
  <c r="J6" i="14"/>
  <c r="J238" i="8"/>
  <c r="G191" i="18"/>
  <c r="G91" i="18"/>
  <c r="G17" i="18"/>
  <c r="J8" i="9"/>
  <c r="J142" i="8"/>
  <c r="O199" i="9"/>
  <c r="O198" i="9" s="1"/>
  <c r="J356" i="9"/>
  <c r="G90" i="18"/>
  <c r="O395" i="9"/>
  <c r="O394" i="9" s="1"/>
  <c r="G42" i="18"/>
  <c r="G181" i="18"/>
  <c r="G107" i="18"/>
  <c r="G52" i="18"/>
  <c r="J123" i="14"/>
  <c r="J122" i="14" s="1"/>
  <c r="G98" i="18"/>
  <c r="O227" i="9"/>
  <c r="O226" i="9" s="1"/>
  <c r="J317" i="9"/>
  <c r="J316" i="9" s="1"/>
  <c r="J82" i="14"/>
  <c r="J81" i="14" s="1"/>
  <c r="J67" i="8"/>
  <c r="J73" i="14"/>
  <c r="J72" i="14" s="1"/>
  <c r="G55" i="18"/>
  <c r="J256" i="9"/>
  <c r="J255" i="9" s="1"/>
  <c r="G132" i="18"/>
  <c r="J297" i="8"/>
  <c r="O111" i="11"/>
  <c r="J93" i="13"/>
  <c r="J92" i="13" s="1"/>
  <c r="J350" i="8"/>
  <c r="J131" i="8"/>
  <c r="G137" i="18"/>
  <c r="J405" i="8"/>
  <c r="G69" i="18"/>
  <c r="G67" i="18"/>
  <c r="G34" i="18"/>
  <c r="J386" i="8"/>
  <c r="J26" i="9"/>
  <c r="J25" i="9" s="1"/>
  <c r="J332" i="8"/>
  <c r="G119" i="18"/>
  <c r="J377" i="8"/>
  <c r="G155" i="18"/>
  <c r="J368" i="8"/>
  <c r="O442" i="8"/>
  <c r="O441" i="8" s="1"/>
  <c r="G47" i="18"/>
  <c r="J233" i="14"/>
  <c r="J218" i="9"/>
  <c r="J217" i="9" s="1"/>
  <c r="J275" i="9"/>
  <c r="J274" i="9" s="1"/>
  <c r="J289" i="13"/>
  <c r="J288" i="13" s="1"/>
  <c r="G113" i="18"/>
  <c r="G194" i="18"/>
  <c r="J227" i="9"/>
  <c r="J226" i="9" s="1"/>
  <c r="J194" i="8"/>
  <c r="AG15" i="5"/>
  <c r="AG12" i="5"/>
  <c r="G136" i="18"/>
  <c r="J284" i="8"/>
  <c r="J158" i="8"/>
  <c r="J157" i="8" s="1"/>
  <c r="J102" i="14"/>
  <c r="J101" i="14" s="1"/>
  <c r="G103" i="18"/>
  <c r="G30" i="18"/>
  <c r="O17" i="13"/>
  <c r="O16" i="13" s="1"/>
  <c r="J32" i="8"/>
  <c r="F33" i="8" s="1"/>
  <c r="O212" i="8"/>
  <c r="O211" i="8" s="1"/>
  <c r="J111" i="11"/>
  <c r="G39" i="18"/>
  <c r="G38" i="18"/>
  <c r="G154" i="18"/>
  <c r="J318" i="8"/>
  <c r="J317" i="8" s="1"/>
  <c r="J386" i="9"/>
  <c r="J385" i="9" s="1"/>
  <c r="J122" i="9"/>
  <c r="F123" i="9" s="1"/>
  <c r="J167" i="8"/>
  <c r="J395" i="8"/>
  <c r="J255" i="8"/>
  <c r="J254" i="8" s="1"/>
  <c r="AG17" i="5"/>
  <c r="J367" i="9"/>
  <c r="G189" i="18"/>
  <c r="G56" i="18"/>
  <c r="O209" i="9"/>
  <c r="O208" i="9" s="1"/>
  <c r="G87" i="18"/>
  <c r="F261" i="9"/>
  <c r="F260" i="9"/>
  <c r="F258" i="9"/>
  <c r="F262" i="9"/>
  <c r="F259" i="9"/>
  <c r="F72" i="6"/>
  <c r="F69" i="6"/>
  <c r="F73" i="6"/>
  <c r="F70" i="6"/>
  <c r="F71" i="6"/>
  <c r="F60" i="6"/>
  <c r="F57" i="6"/>
  <c r="F61" i="6"/>
  <c r="F59" i="6"/>
  <c r="F58" i="6"/>
  <c r="D9" i="16"/>
  <c r="L35" i="6"/>
  <c r="E8" i="16" s="1"/>
  <c r="F64" i="6"/>
  <c r="F65" i="6"/>
  <c r="F67" i="6"/>
  <c r="F63" i="6"/>
  <c r="F66" i="6"/>
  <c r="F40" i="6"/>
  <c r="L93" i="6"/>
  <c r="E14" i="16" s="1"/>
  <c r="F41" i="6"/>
  <c r="F43" i="6"/>
  <c r="O93" i="6"/>
  <c r="D14" i="16" s="1"/>
  <c r="F42" i="6"/>
  <c r="F39" i="6"/>
  <c r="O35" i="6"/>
  <c r="D8" i="16" s="1"/>
  <c r="K130" i="18"/>
  <c r="G130" i="18" s="1"/>
  <c r="F88" i="6"/>
  <c r="F89" i="6"/>
  <c r="F91" i="6"/>
  <c r="F90" i="6"/>
  <c r="F87" i="6"/>
  <c r="L113" i="6"/>
  <c r="L134" i="6" s="1"/>
  <c r="O113" i="6"/>
  <c r="O134" i="6" s="1"/>
  <c r="C79" i="9"/>
  <c r="F79" i="9"/>
  <c r="X75" i="5" s="1"/>
  <c r="AA75" i="5" s="1"/>
  <c r="Q75" i="5" s="1"/>
  <c r="F76" i="6"/>
  <c r="F77" i="6"/>
  <c r="F75" i="6"/>
  <c r="F78" i="6"/>
  <c r="F79" i="6"/>
  <c r="F84" i="6"/>
  <c r="F81" i="6"/>
  <c r="F85" i="6"/>
  <c r="F83" i="6"/>
  <c r="F82" i="6"/>
  <c r="J125" i="6"/>
  <c r="K96" i="18"/>
  <c r="G96" i="18" s="1"/>
  <c r="X72" i="5" l="1"/>
  <c r="AA72" i="5" s="1"/>
  <c r="Q72" i="5" s="1"/>
  <c r="F65" i="9"/>
  <c r="F64" i="9"/>
  <c r="F63" i="9"/>
  <c r="F62" i="9"/>
  <c r="F66" i="9"/>
  <c r="G102" i="18"/>
  <c r="G45" i="18"/>
  <c r="I44" i="18" s="1"/>
  <c r="J140" i="11"/>
  <c r="J54" i="13"/>
  <c r="J53" i="13" s="1"/>
  <c r="G25" i="18"/>
  <c r="J7" i="13"/>
  <c r="J6" i="13" s="1"/>
  <c r="G86" i="18"/>
  <c r="I82" i="18" s="1"/>
  <c r="G156" i="18"/>
  <c r="J64" i="14"/>
  <c r="J63" i="14" s="1"/>
  <c r="J15" i="11"/>
  <c r="G57" i="18"/>
  <c r="J212" i="8"/>
  <c r="J211" i="8" s="1"/>
  <c r="J246" i="9"/>
  <c r="J245" i="9" s="1"/>
  <c r="J377" i="9"/>
  <c r="J376" i="9" s="1"/>
  <c r="I79" i="18"/>
  <c r="D80" i="18" s="1"/>
  <c r="AB80" i="5" s="1"/>
  <c r="R80" i="5" s="1"/>
  <c r="G167" i="18"/>
  <c r="O186" i="13"/>
  <c r="O185" i="13" s="1"/>
  <c r="AG144" i="5"/>
  <c r="AG176" i="5"/>
  <c r="AG99" i="5"/>
  <c r="J204" i="14"/>
  <c r="G144" i="18"/>
  <c r="I142" i="18" s="1"/>
  <c r="D143" i="18" s="1"/>
  <c r="AB143" i="5" s="1"/>
  <c r="AG72" i="5"/>
  <c r="G106" i="18"/>
  <c r="J115" i="8"/>
  <c r="J83" i="8"/>
  <c r="G128" i="18"/>
  <c r="G153" i="18"/>
  <c r="F177" i="9"/>
  <c r="AG92" i="5"/>
  <c r="AG80" i="5"/>
  <c r="I168" i="18"/>
  <c r="D169" i="18" s="1"/>
  <c r="AB169" i="5" s="1"/>
  <c r="J199" i="9"/>
  <c r="J198" i="9" s="1"/>
  <c r="AG18" i="5"/>
  <c r="J246" i="13"/>
  <c r="J245" i="13" s="1"/>
  <c r="J174" i="9"/>
  <c r="I158" i="18"/>
  <c r="I148" i="18"/>
  <c r="D150" i="18" s="1"/>
  <c r="AB150" i="5" s="1"/>
  <c r="R150" i="5" s="1"/>
  <c r="H110" i="18"/>
  <c r="AI110" i="5"/>
  <c r="J186" i="14"/>
  <c r="X190" i="5"/>
  <c r="AA190" i="5" s="1"/>
  <c r="Q190" i="5" s="1"/>
  <c r="K190" i="18" s="1"/>
  <c r="G190" i="18" s="1"/>
  <c r="I188" i="18" s="1"/>
  <c r="D191" i="18" s="1"/>
  <c r="AB191" i="5" s="1"/>
  <c r="R191" i="5" s="1"/>
  <c r="H106" i="18"/>
  <c r="AI106" i="5"/>
  <c r="AI63" i="5"/>
  <c r="O60" i="9"/>
  <c r="K61" i="9" s="1"/>
  <c r="Y72" i="5" s="1"/>
  <c r="AC72" i="5" s="1"/>
  <c r="T72" i="5" s="1"/>
  <c r="AI72" i="5"/>
  <c r="AI48" i="5"/>
  <c r="AI78" i="5"/>
  <c r="AI11" i="5"/>
  <c r="AI10" i="5" s="1"/>
  <c r="O7" i="8"/>
  <c r="AI183" i="5"/>
  <c r="H123" i="18"/>
  <c r="AI123" i="5"/>
  <c r="H145" i="18"/>
  <c r="AI145" i="5"/>
  <c r="H62" i="18"/>
  <c r="AI62" i="5"/>
  <c r="H152" i="18"/>
  <c r="AI152" i="5"/>
  <c r="F192" i="14"/>
  <c r="V32" i="24"/>
  <c r="O49" i="11"/>
  <c r="O48" i="11"/>
  <c r="V31" i="24"/>
  <c r="AI158" i="5"/>
  <c r="AI159" i="5"/>
  <c r="H159" i="18"/>
  <c r="AI161" i="5"/>
  <c r="H161" i="18"/>
  <c r="H73" i="18"/>
  <c r="AI73" i="5"/>
  <c r="H61" i="18"/>
  <c r="AI61" i="5"/>
  <c r="H76" i="18"/>
  <c r="AI76" i="5"/>
  <c r="H181" i="18"/>
  <c r="J177" i="18" s="1"/>
  <c r="E178" i="18" s="1"/>
  <c r="AD178" i="5" s="1"/>
  <c r="AI178" i="5"/>
  <c r="H122" i="18"/>
  <c r="AI122" i="5"/>
  <c r="H24" i="18"/>
  <c r="AI24" i="5"/>
  <c r="O368" i="8"/>
  <c r="AI50" i="5"/>
  <c r="D160" i="18"/>
  <c r="AB160" i="5" s="1"/>
  <c r="R160" i="5" s="1"/>
  <c r="D162" i="18"/>
  <c r="AB162" i="5" s="1"/>
  <c r="R162" i="5" s="1"/>
  <c r="D163" i="18"/>
  <c r="AB163" i="5" s="1"/>
  <c r="R163" i="5" s="1"/>
  <c r="D164" i="18"/>
  <c r="AB164" i="5" s="1"/>
  <c r="R164" i="5" s="1"/>
  <c r="D161" i="18"/>
  <c r="AB161" i="5" s="1"/>
  <c r="R161" i="5" s="1"/>
  <c r="D159" i="18"/>
  <c r="AB159" i="5" s="1"/>
  <c r="H165" i="18"/>
  <c r="AI165" i="5"/>
  <c r="AI115" i="5"/>
  <c r="AI114" i="5" s="1"/>
  <c r="H115" i="18"/>
  <c r="J114" i="18" s="1"/>
  <c r="E115" i="18" s="1"/>
  <c r="AD115" i="5" s="1"/>
  <c r="G55" i="10"/>
  <c r="Q93" i="21" s="1"/>
  <c r="I90" i="21" s="1"/>
  <c r="G51" i="10"/>
  <c r="G46" i="10"/>
  <c r="G52" i="10"/>
  <c r="G54" i="10"/>
  <c r="G53" i="10"/>
  <c r="G50" i="10"/>
  <c r="Q88" i="21" s="1"/>
  <c r="C89" i="21" s="1"/>
  <c r="H155" i="18"/>
  <c r="AI155" i="5"/>
  <c r="O266" i="8"/>
  <c r="J265" i="8" s="1"/>
  <c r="AI37" i="5"/>
  <c r="AI194" i="5"/>
  <c r="AI180" i="5"/>
  <c r="H118" i="18"/>
  <c r="AI118" i="5"/>
  <c r="AI117" i="5" s="1"/>
  <c r="H107" i="18"/>
  <c r="AI107" i="5"/>
  <c r="AI174" i="5"/>
  <c r="H149" i="18"/>
  <c r="AI149" i="5"/>
  <c r="H38" i="18"/>
  <c r="AI38" i="5"/>
  <c r="O17" i="9"/>
  <c r="J16" i="9" s="1"/>
  <c r="AI66" i="5"/>
  <c r="H85" i="18"/>
  <c r="AI85" i="5"/>
  <c r="H80" i="18"/>
  <c r="AI80" i="5"/>
  <c r="H113" i="18"/>
  <c r="AI113" i="5"/>
  <c r="F190" i="14"/>
  <c r="H18" i="24"/>
  <c r="F16" i="11" s="1"/>
  <c r="X123" i="5" s="1"/>
  <c r="AA123" i="5" s="1"/>
  <c r="O51" i="11"/>
  <c r="V34" i="24"/>
  <c r="O50" i="11"/>
  <c r="V33" i="24"/>
  <c r="H164" i="18"/>
  <c r="AI164" i="5"/>
  <c r="H162" i="18"/>
  <c r="AI162" i="5"/>
  <c r="AI70" i="5"/>
  <c r="H70" i="18"/>
  <c r="H87" i="18"/>
  <c r="AI87" i="5"/>
  <c r="O52" i="11"/>
  <c r="V35" i="24"/>
  <c r="H163" i="18"/>
  <c r="AI163" i="5"/>
  <c r="J6" i="8"/>
  <c r="S40" i="4"/>
  <c r="H15" i="14"/>
  <c r="I117" i="18"/>
  <c r="D118" i="18" s="1"/>
  <c r="AB118" i="5" s="1"/>
  <c r="I32" i="18"/>
  <c r="O238" i="8"/>
  <c r="J237" i="8" s="1"/>
  <c r="AI31" i="5"/>
  <c r="AI193" i="5"/>
  <c r="AI179" i="5"/>
  <c r="H153" i="18"/>
  <c r="AI153" i="5"/>
  <c r="H170" i="18"/>
  <c r="AI170" i="5"/>
  <c r="H60" i="18"/>
  <c r="AI60" i="5"/>
  <c r="H56" i="18"/>
  <c r="AI56" i="5"/>
  <c r="O8" i="9"/>
  <c r="J7" i="9" s="1"/>
  <c r="AI65" i="5"/>
  <c r="O350" i="8"/>
  <c r="J349" i="8" s="1"/>
  <c r="AI47" i="5"/>
  <c r="AI35" i="5" s="1"/>
  <c r="H157" i="18"/>
  <c r="AI157" i="5"/>
  <c r="H104" i="18"/>
  <c r="AI104" i="5"/>
  <c r="AI100" i="5" s="1"/>
  <c r="AI146" i="5"/>
  <c r="H190" i="18"/>
  <c r="AI190" i="5"/>
  <c r="F193" i="14"/>
  <c r="F191" i="14"/>
  <c r="R115" i="5"/>
  <c r="AA114" i="5"/>
  <c r="AI160" i="5"/>
  <c r="H160" i="18"/>
  <c r="M81" i="21"/>
  <c r="I40" i="18"/>
  <c r="D43" i="18" s="1"/>
  <c r="AB43" i="5" s="1"/>
  <c r="R43" i="5" s="1"/>
  <c r="H131" i="18"/>
  <c r="AI131" i="5"/>
  <c r="H130" i="18"/>
  <c r="AI130" i="5"/>
  <c r="H134" i="18"/>
  <c r="AI134" i="5"/>
  <c r="H125" i="18"/>
  <c r="AI125" i="5"/>
  <c r="H128" i="18"/>
  <c r="AI128" i="5"/>
  <c r="H90" i="18"/>
  <c r="AI90" i="5"/>
  <c r="H77" i="18"/>
  <c r="AI77" i="5"/>
  <c r="H58" i="18"/>
  <c r="AI58" i="5"/>
  <c r="O377" i="8"/>
  <c r="AI51" i="5"/>
  <c r="H52" i="18"/>
  <c r="AI52" i="5"/>
  <c r="O395" i="8"/>
  <c r="AI53" i="5"/>
  <c r="H45" i="18"/>
  <c r="AI45" i="5"/>
  <c r="H46" i="18"/>
  <c r="AI46" i="5"/>
  <c r="H43" i="18"/>
  <c r="AI43" i="5"/>
  <c r="H34" i="18"/>
  <c r="AI34" i="5"/>
  <c r="AI32" i="5"/>
  <c r="AI33" i="5"/>
  <c r="H29" i="18"/>
  <c r="AI29" i="5"/>
  <c r="J203" i="8"/>
  <c r="J202" i="8" s="1"/>
  <c r="AI27" i="5"/>
  <c r="F124" i="9"/>
  <c r="X76" i="5"/>
  <c r="AA76" i="5" s="1"/>
  <c r="Q76" i="5" s="1"/>
  <c r="F37" i="8"/>
  <c r="X13" i="5"/>
  <c r="R169" i="5"/>
  <c r="R140" i="5"/>
  <c r="R185" i="5"/>
  <c r="R118" i="5"/>
  <c r="R143" i="5"/>
  <c r="I89" i="18"/>
  <c r="D91" i="18" s="1"/>
  <c r="AB91" i="5" s="1"/>
  <c r="R91" i="5" s="1"/>
  <c r="D34" i="18"/>
  <c r="AB34" i="5" s="1"/>
  <c r="R34" i="5" s="1"/>
  <c r="D33" i="18"/>
  <c r="AB33" i="5" s="1"/>
  <c r="F174" i="13"/>
  <c r="F176" i="13"/>
  <c r="F173" i="13"/>
  <c r="F172" i="13"/>
  <c r="F175" i="13"/>
  <c r="D92" i="18"/>
  <c r="AB92" i="5" s="1"/>
  <c r="R92" i="5" s="1"/>
  <c r="AI12" i="5"/>
  <c r="H83" i="18"/>
  <c r="H132" i="18"/>
  <c r="N60" i="21"/>
  <c r="N69" i="21"/>
  <c r="Q35" i="21"/>
  <c r="N28" i="21" s="1"/>
  <c r="M28" i="21"/>
  <c r="H91" i="18"/>
  <c r="Q83" i="21"/>
  <c r="N81" i="21" s="1"/>
  <c r="H39" i="18"/>
  <c r="H191" i="18"/>
  <c r="H12" i="18"/>
  <c r="O83" i="8"/>
  <c r="O167" i="8"/>
  <c r="J166" i="8" s="1"/>
  <c r="H41" i="18"/>
  <c r="O115" i="8"/>
  <c r="J114" i="8" s="1"/>
  <c r="H69" i="18"/>
  <c r="H30" i="18"/>
  <c r="H17" i="18"/>
  <c r="H16" i="18"/>
  <c r="H96" i="18"/>
  <c r="H55" i="18"/>
  <c r="H167" i="18"/>
  <c r="H111" i="18"/>
  <c r="Q91" i="21"/>
  <c r="C90" i="21" s="1"/>
  <c r="Q92" i="21"/>
  <c r="E90" i="21" s="1"/>
  <c r="Q90" i="21"/>
  <c r="I89" i="21" s="1"/>
  <c r="H147" i="18"/>
  <c r="H185" i="18"/>
  <c r="H9" i="18"/>
  <c r="H137" i="18"/>
  <c r="H186" i="18"/>
  <c r="O356" i="9"/>
  <c r="J355" i="9" s="1"/>
  <c r="O432" i="8"/>
  <c r="J431" i="8" s="1"/>
  <c r="H92" i="18"/>
  <c r="H121" i="18"/>
  <c r="H156" i="18"/>
  <c r="O386" i="8"/>
  <c r="J385" i="8" s="1"/>
  <c r="H103" i="18"/>
  <c r="J139" i="18"/>
  <c r="E140" i="18" s="1"/>
  <c r="AD140" i="5" s="1"/>
  <c r="J142" i="18"/>
  <c r="E143" i="18" s="1"/>
  <c r="AD143" i="5" s="1"/>
  <c r="H135" i="18"/>
  <c r="H119" i="18"/>
  <c r="J117" i="18" s="1"/>
  <c r="E119" i="18" s="1"/>
  <c r="AD119" i="5" s="1"/>
  <c r="U119" i="5" s="1"/>
  <c r="H95" i="18"/>
  <c r="H172" i="18"/>
  <c r="J121" i="18" s="1"/>
  <c r="E145" i="18" s="1"/>
  <c r="O405" i="8"/>
  <c r="J404" i="8" s="1"/>
  <c r="H129" i="18"/>
  <c r="H109" i="18"/>
  <c r="O221" i="8"/>
  <c r="J220" i="8" s="1"/>
  <c r="O284" i="8"/>
  <c r="J283" i="8" s="1"/>
  <c r="H189" i="18"/>
  <c r="AI18" i="5"/>
  <c r="H15" i="18"/>
  <c r="O36" i="9"/>
  <c r="J35" i="9" s="1"/>
  <c r="H98" i="18"/>
  <c r="H71" i="18"/>
  <c r="O118" i="6"/>
  <c r="H171" i="18"/>
  <c r="O423" i="8"/>
  <c r="J422" i="8" s="1"/>
  <c r="H169" i="18"/>
  <c r="H65" i="18"/>
  <c r="H97" i="18"/>
  <c r="O367" i="9"/>
  <c r="J366" i="9" s="1"/>
  <c r="H187" i="18"/>
  <c r="H50" i="18"/>
  <c r="O297" i="8"/>
  <c r="J296" i="8" s="1"/>
  <c r="O340" i="8"/>
  <c r="H173" i="18"/>
  <c r="AI13" i="5"/>
  <c r="O99" i="8"/>
  <c r="J98" i="8" s="1"/>
  <c r="H88" i="18"/>
  <c r="O332" i="8"/>
  <c r="H67" i="18"/>
  <c r="H22" i="18"/>
  <c r="H53" i="18"/>
  <c r="H33" i="18"/>
  <c r="J32" i="18" s="1"/>
  <c r="H176" i="18"/>
  <c r="O347" i="9"/>
  <c r="J346" i="9" s="1"/>
  <c r="H94" i="18"/>
  <c r="H116" i="18"/>
  <c r="H66" i="18"/>
  <c r="H25" i="18"/>
  <c r="J275" i="8"/>
  <c r="J274" i="8" s="1"/>
  <c r="H86" i="18"/>
  <c r="H23" i="18"/>
  <c r="H136" i="18"/>
  <c r="H102" i="18"/>
  <c r="H37" i="18"/>
  <c r="H193" i="18"/>
  <c r="H51" i="18"/>
  <c r="O414" i="8"/>
  <c r="J413" i="8" s="1"/>
  <c r="H108" i="18"/>
  <c r="H26" i="18"/>
  <c r="H175" i="18"/>
  <c r="H133" i="18"/>
  <c r="H28" i="18"/>
  <c r="H81" i="18"/>
  <c r="J79" i="18" s="1"/>
  <c r="E80" i="18" s="1"/>
  <c r="AD80" i="5" s="1"/>
  <c r="H127" i="18"/>
  <c r="H47" i="18"/>
  <c r="H112" i="18"/>
  <c r="O194" i="8"/>
  <c r="J193" i="8" s="1"/>
  <c r="H194" i="18"/>
  <c r="H27" i="18"/>
  <c r="O306" i="8"/>
  <c r="O67" i="8"/>
  <c r="J66" i="8" s="1"/>
  <c r="H31" i="18"/>
  <c r="H57" i="18"/>
  <c r="O142" i="8"/>
  <c r="J141" i="8" s="1"/>
  <c r="H150" i="18"/>
  <c r="J148" i="18" s="1"/>
  <c r="E149" i="18" s="1"/>
  <c r="AD149" i="5" s="1"/>
  <c r="H42" i="18"/>
  <c r="H154" i="18"/>
  <c r="O131" i="8"/>
  <c r="J130" i="8" s="1"/>
  <c r="H84" i="18"/>
  <c r="H44" i="18"/>
  <c r="H19" i="18"/>
  <c r="I64" i="18"/>
  <c r="D67" i="18" s="1"/>
  <c r="AB67" i="5" s="1"/>
  <c r="R67" i="5" s="1"/>
  <c r="I192" i="18"/>
  <c r="D194" i="18" s="1"/>
  <c r="AB194" i="5" s="1"/>
  <c r="R194" i="5" s="1"/>
  <c r="J305" i="8"/>
  <c r="I126" i="18"/>
  <c r="D127" i="18" s="1"/>
  <c r="AB127" i="5" s="1"/>
  <c r="R127" i="5" s="1"/>
  <c r="J331" i="8"/>
  <c r="J376" i="8"/>
  <c r="I105" i="18"/>
  <c r="D111" i="18" s="1"/>
  <c r="AB111" i="5" s="1"/>
  <c r="R111" i="5" s="1"/>
  <c r="E141" i="18"/>
  <c r="AD141" i="5" s="1"/>
  <c r="U141" i="5" s="1"/>
  <c r="F38" i="8"/>
  <c r="J110" i="11"/>
  <c r="I21" i="18"/>
  <c r="D23" i="18" s="1"/>
  <c r="AB23" i="5" s="1"/>
  <c r="R23" i="5" s="1"/>
  <c r="I49" i="18"/>
  <c r="D50" i="18" s="1"/>
  <c r="AB50" i="5" s="1"/>
  <c r="I101" i="18"/>
  <c r="D103" i="18" s="1"/>
  <c r="AB103" i="5" s="1"/>
  <c r="R103" i="5" s="1"/>
  <c r="D141" i="18"/>
  <c r="I131" i="18"/>
  <c r="D133" i="18" s="1"/>
  <c r="AB133" i="5" s="1"/>
  <c r="R133" i="5" s="1"/>
  <c r="I177" i="18"/>
  <c r="D179" i="18" s="1"/>
  <c r="AB179" i="5" s="1"/>
  <c r="R179" i="5" s="1"/>
  <c r="I14" i="18"/>
  <c r="D15" i="18" s="1"/>
  <c r="AB15" i="5" s="1"/>
  <c r="R15" i="5" s="1"/>
  <c r="D60" i="18"/>
  <c r="AB60" i="5" s="1"/>
  <c r="D61" i="18"/>
  <c r="AB61" i="5" s="1"/>
  <c r="R61" i="5" s="1"/>
  <c r="F35" i="8"/>
  <c r="D186" i="18"/>
  <c r="AB186" i="5" s="1"/>
  <c r="R186" i="5" s="1"/>
  <c r="D187" i="18"/>
  <c r="AB187" i="5" s="1"/>
  <c r="R187" i="5" s="1"/>
  <c r="F36" i="8"/>
  <c r="I36" i="18"/>
  <c r="D38" i="18" s="1"/>
  <c r="AB38" i="5" s="1"/>
  <c r="R38" i="5" s="1"/>
  <c r="F34" i="8"/>
  <c r="J121" i="9"/>
  <c r="J367" i="8"/>
  <c r="F126" i="9"/>
  <c r="D144" i="18"/>
  <c r="AB144" i="5" s="1"/>
  <c r="R144" i="5" s="1"/>
  <c r="D81" i="18"/>
  <c r="AB81" i="5" s="1"/>
  <c r="R81" i="5" s="1"/>
  <c r="F125" i="9"/>
  <c r="J394" i="8"/>
  <c r="F127" i="9"/>
  <c r="I54" i="18"/>
  <c r="D55" i="18" s="1"/>
  <c r="AB55" i="5" s="1"/>
  <c r="F128" i="9"/>
  <c r="D171" i="18"/>
  <c r="AB171" i="5" s="1"/>
  <c r="R171" i="5" s="1"/>
  <c r="D170" i="18"/>
  <c r="AB170" i="5" s="1"/>
  <c r="R170" i="5" s="1"/>
  <c r="O98" i="6"/>
  <c r="D19" i="16" s="1"/>
  <c r="L98" i="6"/>
  <c r="E19" i="16" s="1"/>
  <c r="J129" i="18"/>
  <c r="K72" i="18"/>
  <c r="G72" i="18" s="1"/>
  <c r="I68" i="18" s="1"/>
  <c r="F82" i="9"/>
  <c r="J77" i="9"/>
  <c r="F83" i="9"/>
  <c r="F81" i="9"/>
  <c r="F84" i="9"/>
  <c r="F80" i="9"/>
  <c r="D34" i="16"/>
  <c r="K37" i="8"/>
  <c r="K36" i="8"/>
  <c r="K38" i="8"/>
  <c r="K34" i="8"/>
  <c r="K35" i="8"/>
  <c r="K77" i="18"/>
  <c r="G77" i="18" s="1"/>
  <c r="E34" i="16"/>
  <c r="L95" i="6"/>
  <c r="E16" i="16" s="1"/>
  <c r="O95" i="6"/>
  <c r="D16" i="16" s="1"/>
  <c r="K63" i="9"/>
  <c r="J31" i="8"/>
  <c r="S41" i="4"/>
  <c r="O94" i="6"/>
  <c r="D15" i="16" s="1"/>
  <c r="L94" i="6"/>
  <c r="E15" i="16" s="1"/>
  <c r="O96" i="6"/>
  <c r="D17" i="16" s="1"/>
  <c r="L96" i="6"/>
  <c r="E17" i="16" s="1"/>
  <c r="D149" i="18"/>
  <c r="AB149" i="5" s="1"/>
  <c r="K94" i="18"/>
  <c r="G94" i="18" s="1"/>
  <c r="I93" i="18" s="1"/>
  <c r="L97" i="6"/>
  <c r="E18" i="16" s="1"/>
  <c r="O97" i="6"/>
  <c r="D18" i="16" s="1"/>
  <c r="D46" i="18" l="1"/>
  <c r="AB46" i="5" s="1"/>
  <c r="R46" i="5" s="1"/>
  <c r="D45" i="18"/>
  <c r="AB45" i="5" s="1"/>
  <c r="R45" i="5" s="1"/>
  <c r="D85" i="18"/>
  <c r="AB85" i="5" s="1"/>
  <c r="R85" i="5" s="1"/>
  <c r="D83" i="18"/>
  <c r="AB83" i="5" s="1"/>
  <c r="D87" i="18"/>
  <c r="AB87" i="5" s="1"/>
  <c r="R87" i="5" s="1"/>
  <c r="D86" i="18"/>
  <c r="AB86" i="5" s="1"/>
  <c r="R86" i="5" s="1"/>
  <c r="D88" i="18"/>
  <c r="AB88" i="5" s="1"/>
  <c r="R88" i="5" s="1"/>
  <c r="D84" i="18"/>
  <c r="AB84" i="5" s="1"/>
  <c r="R84" i="5" s="1"/>
  <c r="H56" i="10"/>
  <c r="J82" i="8"/>
  <c r="AI20" i="5"/>
  <c r="Q89" i="21"/>
  <c r="E89" i="21" s="1"/>
  <c r="J44" i="18"/>
  <c r="E46" i="18" s="1"/>
  <c r="AD46" i="5" s="1"/>
  <c r="U46" i="5" s="1"/>
  <c r="J59" i="18"/>
  <c r="E60" i="18" s="1"/>
  <c r="AD60" i="5" s="1"/>
  <c r="K65" i="9"/>
  <c r="AI151" i="5"/>
  <c r="J158" i="18"/>
  <c r="Q123" i="5"/>
  <c r="AE123" i="5"/>
  <c r="V123" i="5" s="1"/>
  <c r="J59" i="9"/>
  <c r="K66" i="9"/>
  <c r="D119" i="18"/>
  <c r="AB119" i="5" s="1"/>
  <c r="R119" i="5" s="1"/>
  <c r="J23" i="24"/>
  <c r="U29" i="24"/>
  <c r="W34" i="24"/>
  <c r="X34" i="24" s="1"/>
  <c r="W33" i="24"/>
  <c r="X33" i="24" s="1"/>
  <c r="P114" i="5"/>
  <c r="Q114" i="5"/>
  <c r="T40" i="4"/>
  <c r="I15" i="14"/>
  <c r="K64" i="9"/>
  <c r="K62" i="9"/>
  <c r="G45" i="10"/>
  <c r="N47" i="10" s="1"/>
  <c r="F37" i="10" s="1"/>
  <c r="X116" i="5" s="1"/>
  <c r="AA116" i="5" s="1"/>
  <c r="AD114" i="5"/>
  <c r="U114" i="5" s="1"/>
  <c r="U115" i="5"/>
  <c r="AC114" i="5"/>
  <c r="R159" i="5"/>
  <c r="AA158" i="5"/>
  <c r="W32" i="24"/>
  <c r="X32" i="24" s="1"/>
  <c r="W31" i="24"/>
  <c r="X31" i="24" s="1"/>
  <c r="D41" i="18"/>
  <c r="AB41" i="5" s="1"/>
  <c r="R41" i="5" s="1"/>
  <c r="AA79" i="5"/>
  <c r="Q79" i="5" s="1"/>
  <c r="D42" i="18"/>
  <c r="AB42" i="5" s="1"/>
  <c r="R42" i="5" s="1"/>
  <c r="J151" i="18"/>
  <c r="E165" i="18" s="1"/>
  <c r="AD165" i="5" s="1"/>
  <c r="U165" i="5" s="1"/>
  <c r="D90" i="18"/>
  <c r="AB90" i="5" s="1"/>
  <c r="R90" i="5" s="1"/>
  <c r="U178" i="5"/>
  <c r="U149" i="5"/>
  <c r="U80" i="5"/>
  <c r="BN80" i="5" s="1"/>
  <c r="U143" i="5"/>
  <c r="BN143" i="5" s="1"/>
  <c r="U60" i="5"/>
  <c r="U140" i="5"/>
  <c r="BN140" i="5" s="1"/>
  <c r="AC139" i="5"/>
  <c r="AA184" i="5"/>
  <c r="Q184" i="5" s="1"/>
  <c r="K184" i="18" s="1"/>
  <c r="G184" i="18" s="1"/>
  <c r="J126" i="18"/>
  <c r="E128" i="18" s="1"/>
  <c r="AD128" i="5" s="1"/>
  <c r="U128" i="5" s="1"/>
  <c r="AB141" i="5"/>
  <c r="R149" i="5"/>
  <c r="AA148" i="5"/>
  <c r="R83" i="5"/>
  <c r="R55" i="5"/>
  <c r="AA142" i="5"/>
  <c r="AA117" i="5"/>
  <c r="P79" i="5"/>
  <c r="AA168" i="5"/>
  <c r="R60" i="5"/>
  <c r="AA59" i="5"/>
  <c r="R50" i="5"/>
  <c r="J89" i="18"/>
  <c r="E91" i="18" s="1"/>
  <c r="AD91" i="5" s="1"/>
  <c r="U91" i="5" s="1"/>
  <c r="R33" i="5"/>
  <c r="AA32" i="5"/>
  <c r="Q32" i="5" s="1"/>
  <c r="E158" i="18"/>
  <c r="AD158" i="5" s="1"/>
  <c r="U158" i="5" s="1"/>
  <c r="T41" i="4"/>
  <c r="I16" i="14"/>
  <c r="E34" i="18"/>
  <c r="AD34" i="5" s="1"/>
  <c r="U34" i="5" s="1"/>
  <c r="E33" i="18"/>
  <c r="AD33" i="5" s="1"/>
  <c r="N42" i="21"/>
  <c r="K157" i="18"/>
  <c r="G157" i="18" s="1"/>
  <c r="I151" i="18" s="1"/>
  <c r="D165" i="18" s="1"/>
  <c r="AB165" i="5" s="1"/>
  <c r="R165" i="5" s="1"/>
  <c r="D73" i="18"/>
  <c r="AB73" i="5" s="1"/>
  <c r="R73" i="5" s="1"/>
  <c r="D70" i="18"/>
  <c r="AB70" i="5" s="1"/>
  <c r="R70" i="5" s="1"/>
  <c r="J36" i="18"/>
  <c r="E38" i="18" s="1"/>
  <c r="AD38" i="5" s="1"/>
  <c r="U38" i="5" s="1"/>
  <c r="J8" i="18"/>
  <c r="E112" i="18" s="1"/>
  <c r="K76" i="18"/>
  <c r="G76" i="18" s="1"/>
  <c r="J40" i="18"/>
  <c r="E43" i="18" s="1"/>
  <c r="AD43" i="5" s="1"/>
  <c r="U43" i="5" s="1"/>
  <c r="J54" i="18"/>
  <c r="E57" i="18" s="1"/>
  <c r="AD57" i="5" s="1"/>
  <c r="U57" i="5" s="1"/>
  <c r="J14" i="18"/>
  <c r="E16" i="18" s="1"/>
  <c r="AD16" i="5" s="1"/>
  <c r="U16" i="5" s="1"/>
  <c r="BN119" i="5"/>
  <c r="J188" i="18"/>
  <c r="E191" i="18" s="1"/>
  <c r="M68" i="21"/>
  <c r="Q69" i="21"/>
  <c r="N68" i="21" s="1"/>
  <c r="J101" i="18"/>
  <c r="E102" i="18" s="1"/>
  <c r="AD102" i="5" s="1"/>
  <c r="J184" i="18"/>
  <c r="E186" i="18" s="1"/>
  <c r="E180" i="18"/>
  <c r="AD180" i="5" s="1"/>
  <c r="U180" i="5" s="1"/>
  <c r="E144" i="18"/>
  <c r="E154" i="18"/>
  <c r="AD154" i="5" s="1"/>
  <c r="U154" i="5" s="1"/>
  <c r="J93" i="18"/>
  <c r="E94" i="18" s="1"/>
  <c r="AD94" i="5" s="1"/>
  <c r="J168" i="18"/>
  <c r="E169" i="18" s="1"/>
  <c r="AD169" i="5" s="1"/>
  <c r="E181" i="18"/>
  <c r="AD181" i="5" s="1"/>
  <c r="U181" i="5" s="1"/>
  <c r="J105" i="18"/>
  <c r="E108" i="18" s="1"/>
  <c r="AD108" i="5" s="1"/>
  <c r="U108" i="5" s="1"/>
  <c r="E179" i="18"/>
  <c r="AD179" i="5" s="1"/>
  <c r="U179" i="5" s="1"/>
  <c r="J192" i="18"/>
  <c r="E193" i="18" s="1"/>
  <c r="AD193" i="5" s="1"/>
  <c r="J49" i="18"/>
  <c r="E51" i="18" s="1"/>
  <c r="AD51" i="5" s="1"/>
  <c r="U51" i="5" s="1"/>
  <c r="J64" i="18"/>
  <c r="E67" i="18" s="1"/>
  <c r="AD67" i="5" s="1"/>
  <c r="U67" i="5" s="1"/>
  <c r="J131" i="18"/>
  <c r="E134" i="18" s="1"/>
  <c r="AD134" i="5" s="1"/>
  <c r="U134" i="5" s="1"/>
  <c r="J82" i="18"/>
  <c r="E85" i="18" s="1"/>
  <c r="AD85" i="5" s="1"/>
  <c r="U85" i="5" s="1"/>
  <c r="J21" i="18"/>
  <c r="E23" i="18" s="1"/>
  <c r="AD23" i="5" s="1"/>
  <c r="U23" i="5" s="1"/>
  <c r="D51" i="18"/>
  <c r="AB51" i="5" s="1"/>
  <c r="R51" i="5" s="1"/>
  <c r="D65" i="18"/>
  <c r="AB65" i="5" s="1"/>
  <c r="D66" i="18"/>
  <c r="AB66" i="5" s="1"/>
  <c r="R66" i="5" s="1"/>
  <c r="D52" i="18"/>
  <c r="AB52" i="5" s="1"/>
  <c r="R52" i="5" s="1"/>
  <c r="D106" i="18"/>
  <c r="AB106" i="5" s="1"/>
  <c r="E61" i="18"/>
  <c r="AD61" i="5" s="1"/>
  <c r="U61" i="5" s="1"/>
  <c r="D193" i="18"/>
  <c r="AB193" i="5" s="1"/>
  <c r="F126" i="6"/>
  <c r="D59" i="16"/>
  <c r="D53" i="18"/>
  <c r="AB53" i="5" s="1"/>
  <c r="R53" i="5" s="1"/>
  <c r="D109" i="18"/>
  <c r="AB109" i="5" s="1"/>
  <c r="R109" i="5" s="1"/>
  <c r="D128" i="18"/>
  <c r="AB128" i="5" s="1"/>
  <c r="R128" i="5" s="1"/>
  <c r="D180" i="18"/>
  <c r="AB180" i="5" s="1"/>
  <c r="R180" i="5" s="1"/>
  <c r="D102" i="18"/>
  <c r="AB102" i="5" s="1"/>
  <c r="D108" i="18"/>
  <c r="AB108" i="5" s="1"/>
  <c r="R108" i="5" s="1"/>
  <c r="D178" i="18"/>
  <c r="AB178" i="5" s="1"/>
  <c r="D110" i="18"/>
  <c r="AB110" i="5" s="1"/>
  <c r="R110" i="5" s="1"/>
  <c r="D17" i="18"/>
  <c r="AB17" i="5" s="1"/>
  <c r="R17" i="5" s="1"/>
  <c r="D107" i="18"/>
  <c r="AB107" i="5" s="1"/>
  <c r="R107" i="5" s="1"/>
  <c r="D16" i="18"/>
  <c r="AB16" i="5" s="1"/>
  <c r="R16" i="5" s="1"/>
  <c r="D18" i="18"/>
  <c r="AB18" i="5" s="1"/>
  <c r="R18" i="5" s="1"/>
  <c r="D24" i="18"/>
  <c r="AB24" i="5" s="1"/>
  <c r="R24" i="5" s="1"/>
  <c r="D22" i="18"/>
  <c r="AB22" i="5" s="1"/>
  <c r="R22" i="5" s="1"/>
  <c r="D132" i="18"/>
  <c r="AB132" i="5" s="1"/>
  <c r="R132" i="5" s="1"/>
  <c r="D26" i="18"/>
  <c r="AB26" i="5" s="1"/>
  <c r="R26" i="5" s="1"/>
  <c r="D28" i="18"/>
  <c r="AB28" i="5" s="1"/>
  <c r="R28" i="5" s="1"/>
  <c r="D27" i="18"/>
  <c r="AB27" i="5" s="1"/>
  <c r="R27" i="5" s="1"/>
  <c r="D29" i="18"/>
  <c r="AB29" i="5" s="1"/>
  <c r="R29" i="5" s="1"/>
  <c r="D25" i="18"/>
  <c r="AB25" i="5" s="1"/>
  <c r="R25" i="5" s="1"/>
  <c r="D136" i="18"/>
  <c r="AB136" i="5" s="1"/>
  <c r="R136" i="5" s="1"/>
  <c r="D190" i="18"/>
  <c r="D189" i="18"/>
  <c r="AB189" i="5" s="1"/>
  <c r="D39" i="18"/>
  <c r="AB39" i="5" s="1"/>
  <c r="R39" i="5" s="1"/>
  <c r="D134" i="18"/>
  <c r="AB134" i="5" s="1"/>
  <c r="R134" i="5" s="1"/>
  <c r="D135" i="18"/>
  <c r="AB135" i="5" s="1"/>
  <c r="R135" i="5" s="1"/>
  <c r="K13" i="18"/>
  <c r="G13" i="18" s="1"/>
  <c r="D181" i="18"/>
  <c r="D37" i="18"/>
  <c r="AB37" i="5" s="1"/>
  <c r="E127" i="18"/>
  <c r="E118" i="18"/>
  <c r="AD118" i="5" s="1"/>
  <c r="E81" i="18"/>
  <c r="AD81" i="5" s="1"/>
  <c r="U81" i="5" s="1"/>
  <c r="D56" i="18"/>
  <c r="AB56" i="5" s="1"/>
  <c r="R56" i="5" s="1"/>
  <c r="E122" i="18"/>
  <c r="E172" i="18"/>
  <c r="D58" i="18"/>
  <c r="AB58" i="5" s="1"/>
  <c r="R58" i="5" s="1"/>
  <c r="E150" i="18"/>
  <c r="AD150" i="5" s="1"/>
  <c r="U150" i="5" s="1"/>
  <c r="D57" i="18"/>
  <c r="AB57" i="5" s="1"/>
  <c r="R57" i="5" s="1"/>
  <c r="L72" i="18"/>
  <c r="H72" i="18" s="1"/>
  <c r="J68" i="18" s="1"/>
  <c r="L13" i="18"/>
  <c r="H13" i="18" s="1"/>
  <c r="J11" i="18" s="1"/>
  <c r="D69" i="18"/>
  <c r="AB69" i="5" s="1"/>
  <c r="D71" i="18"/>
  <c r="AB71" i="5" s="1"/>
  <c r="R71" i="5" s="1"/>
  <c r="D72" i="18"/>
  <c r="D97" i="18"/>
  <c r="AB97" i="5" s="1"/>
  <c r="R97" i="5" s="1"/>
  <c r="D95" i="18"/>
  <c r="AB95" i="5" s="1"/>
  <c r="R95" i="5" s="1"/>
  <c r="D96" i="18"/>
  <c r="AB96" i="5" s="1"/>
  <c r="R96" i="5" s="1"/>
  <c r="D94" i="18"/>
  <c r="AB94" i="5" s="1"/>
  <c r="D98" i="18"/>
  <c r="AB98" i="5" s="1"/>
  <c r="R98" i="5" s="1"/>
  <c r="K75" i="18"/>
  <c r="G75" i="18" s="1"/>
  <c r="E131" i="18"/>
  <c r="E130" i="18"/>
  <c r="E45" i="18" l="1"/>
  <c r="AD45" i="5" s="1"/>
  <c r="U45" i="5" s="1"/>
  <c r="AA82" i="5"/>
  <c r="P184" i="5"/>
  <c r="P158" i="5"/>
  <c r="Q158" i="5"/>
  <c r="E160" i="18"/>
  <c r="AD160" i="5" s="1"/>
  <c r="U160" i="5" s="1"/>
  <c r="E164" i="18"/>
  <c r="AD164" i="5" s="1"/>
  <c r="U164" i="5" s="1"/>
  <c r="E163" i="18"/>
  <c r="AD163" i="5" s="1"/>
  <c r="U163" i="5" s="1"/>
  <c r="E162" i="18"/>
  <c r="AD162" i="5" s="1"/>
  <c r="U162" i="5" s="1"/>
  <c r="E161" i="18"/>
  <c r="AD161" i="5" s="1"/>
  <c r="U161" i="5" s="1"/>
  <c r="E159" i="18"/>
  <c r="AD159" i="5" s="1"/>
  <c r="AA89" i="5"/>
  <c r="AC148" i="5"/>
  <c r="AE114" i="5"/>
  <c r="V114" i="5" s="1"/>
  <c r="T114" i="5"/>
  <c r="S114" i="5"/>
  <c r="X29" i="24"/>
  <c r="W29" i="24"/>
  <c r="AA40" i="5"/>
  <c r="P40" i="5" s="1"/>
  <c r="S139" i="5"/>
  <c r="T139" i="5"/>
  <c r="L139" i="18" s="1"/>
  <c r="H139" i="18" s="1"/>
  <c r="AD191" i="5"/>
  <c r="U191" i="5" s="1"/>
  <c r="BN191" i="5" s="1"/>
  <c r="AD144" i="5"/>
  <c r="E90" i="18"/>
  <c r="AD90" i="5" s="1"/>
  <c r="U90" i="5" s="1"/>
  <c r="AC59" i="5"/>
  <c r="AC79" i="5"/>
  <c r="AC177" i="5"/>
  <c r="U94" i="5"/>
  <c r="AD186" i="5"/>
  <c r="U186" i="5" s="1"/>
  <c r="BN186" i="5" s="1"/>
  <c r="S148" i="5"/>
  <c r="T148" i="5"/>
  <c r="L148" i="18" s="1"/>
  <c r="H148" i="18" s="1"/>
  <c r="J146" i="18" s="1"/>
  <c r="E147" i="18" s="1"/>
  <c r="AD147" i="5" s="1"/>
  <c r="AC117" i="5"/>
  <c r="U118" i="5"/>
  <c r="AD117" i="5"/>
  <c r="U117" i="5" s="1"/>
  <c r="U193" i="5"/>
  <c r="U169" i="5"/>
  <c r="E92" i="18"/>
  <c r="AD92" i="5" s="1"/>
  <c r="U92" i="5" s="1"/>
  <c r="Q116" i="5"/>
  <c r="K116" i="18" s="1"/>
  <c r="G116" i="18" s="1"/>
  <c r="AE116" i="5"/>
  <c r="V116" i="5" s="1"/>
  <c r="Y50" i="4" s="1"/>
  <c r="Z50" i="4" s="1"/>
  <c r="L126" i="18"/>
  <c r="H126" i="18" s="1"/>
  <c r="J124" i="18" s="1"/>
  <c r="E126" i="18" s="1"/>
  <c r="AD126" i="5" s="1"/>
  <c r="U126" i="5" s="1"/>
  <c r="AD127" i="5"/>
  <c r="U127" i="5" s="1"/>
  <c r="U33" i="5"/>
  <c r="AC32" i="5"/>
  <c r="T32" i="5" s="1"/>
  <c r="R94" i="5"/>
  <c r="AA93" i="5"/>
  <c r="Q60" i="21"/>
  <c r="N58" i="21" s="1"/>
  <c r="AB72" i="5"/>
  <c r="R72" i="5" s="1"/>
  <c r="AB181" i="5"/>
  <c r="R181" i="5" s="1"/>
  <c r="BN181" i="5" s="1"/>
  <c r="R178" i="5"/>
  <c r="BN178" i="5" s="1"/>
  <c r="R106" i="5"/>
  <c r="AA105" i="5"/>
  <c r="U102" i="5"/>
  <c r="Q142" i="5"/>
  <c r="K142" i="18" s="1"/>
  <c r="G142" i="18" s="1"/>
  <c r="P142" i="5"/>
  <c r="R189" i="5"/>
  <c r="Q59" i="5"/>
  <c r="P59" i="5"/>
  <c r="AA54" i="5"/>
  <c r="P148" i="5"/>
  <c r="Q148" i="5"/>
  <c r="Q40" i="5"/>
  <c r="K40" i="18" s="1"/>
  <c r="G40" i="18" s="1"/>
  <c r="R69" i="5"/>
  <c r="AB190" i="5"/>
  <c r="R190" i="5" s="1"/>
  <c r="BN190" i="5" s="1"/>
  <c r="R193" i="5"/>
  <c r="AA192" i="5"/>
  <c r="Q89" i="5"/>
  <c r="K89" i="18" s="1"/>
  <c r="G89" i="18" s="1"/>
  <c r="P89" i="5"/>
  <c r="R37" i="5"/>
  <c r="AA36" i="5"/>
  <c r="AA101" i="5"/>
  <c r="R102" i="5"/>
  <c r="R65" i="5"/>
  <c r="AA64" i="5"/>
  <c r="AA49" i="5"/>
  <c r="Q168" i="5"/>
  <c r="K168" i="18" s="1"/>
  <c r="G168" i="18" s="1"/>
  <c r="I166" i="18" s="1"/>
  <c r="D167" i="18" s="1"/>
  <c r="AB167" i="5" s="1"/>
  <c r="P168" i="5"/>
  <c r="Q117" i="5"/>
  <c r="K117" i="18" s="1"/>
  <c r="G117" i="18" s="1"/>
  <c r="P117" i="5"/>
  <c r="AE117" i="5"/>
  <c r="V117" i="5" s="1"/>
  <c r="P82" i="5"/>
  <c r="Q82" i="5"/>
  <c r="R141" i="5"/>
  <c r="BN141" i="5" s="1"/>
  <c r="AA139" i="5"/>
  <c r="D155" i="18"/>
  <c r="AB155" i="5" s="1"/>
  <c r="R155" i="5" s="1"/>
  <c r="D152" i="18"/>
  <c r="AB152" i="5" s="1"/>
  <c r="D157" i="18"/>
  <c r="AB157" i="5" s="1"/>
  <c r="R157" i="5" s="1"/>
  <c r="D156" i="18"/>
  <c r="AB156" i="5" s="1"/>
  <c r="R156" i="5" s="1"/>
  <c r="D158" i="18"/>
  <c r="AB158" i="5" s="1"/>
  <c r="R158" i="5" s="1"/>
  <c r="D154" i="18"/>
  <c r="D153" i="18"/>
  <c r="AB153" i="5" s="1"/>
  <c r="R153" i="5" s="1"/>
  <c r="Q42" i="21"/>
  <c r="N38" i="21" s="1"/>
  <c r="N27" i="21" s="1"/>
  <c r="M38" i="21"/>
  <c r="M27" i="21" s="1"/>
  <c r="Q16" i="21" s="1"/>
  <c r="E70" i="18"/>
  <c r="AD70" i="5" s="1"/>
  <c r="E73" i="18"/>
  <c r="AD73" i="5" s="1"/>
  <c r="E37" i="18"/>
  <c r="AD37" i="5" s="1"/>
  <c r="E39" i="18"/>
  <c r="AD39" i="5" s="1"/>
  <c r="U39" i="5" s="1"/>
  <c r="K79" i="18"/>
  <c r="G79" i="18" s="1"/>
  <c r="E15" i="18"/>
  <c r="AD15" i="5" s="1"/>
  <c r="E109" i="18"/>
  <c r="AD109" i="5" s="1"/>
  <c r="U109" i="5" s="1"/>
  <c r="E189" i="18"/>
  <c r="K148" i="18"/>
  <c r="G148" i="18" s="1"/>
  <c r="I146" i="18" s="1"/>
  <c r="D148" i="18" s="1"/>
  <c r="AB148" i="5" s="1"/>
  <c r="R148" i="5" s="1"/>
  <c r="E62" i="18"/>
  <c r="E56" i="18"/>
  <c r="AD56" i="5" s="1"/>
  <c r="U56" i="5" s="1"/>
  <c r="E9" i="18"/>
  <c r="E41" i="18"/>
  <c r="AD41" i="5" s="1"/>
  <c r="E18" i="18"/>
  <c r="AD18" i="5" s="1"/>
  <c r="U18" i="5" s="1"/>
  <c r="E103" i="18"/>
  <c r="AD103" i="5" s="1"/>
  <c r="U103" i="5" s="1"/>
  <c r="BN103" i="5" s="1"/>
  <c r="E42" i="18"/>
  <c r="I74" i="18"/>
  <c r="D75" i="18" s="1"/>
  <c r="AB75" i="5" s="1"/>
  <c r="E190" i="18"/>
  <c r="AD190" i="5" s="1"/>
  <c r="E17" i="18"/>
  <c r="AD17" i="5" s="1"/>
  <c r="U17" i="5" s="1"/>
  <c r="BN60" i="5"/>
  <c r="BN38" i="5"/>
  <c r="BN149" i="5"/>
  <c r="BN61" i="5"/>
  <c r="BN150" i="5"/>
  <c r="E83" i="18"/>
  <c r="BN81" i="5"/>
  <c r="E194" i="18"/>
  <c r="BN85" i="5"/>
  <c r="BN67" i="5"/>
  <c r="M58" i="21"/>
  <c r="K82" i="18"/>
  <c r="G82" i="18" s="1"/>
  <c r="BN108" i="5"/>
  <c r="E55" i="18"/>
  <c r="AD55" i="5" s="1"/>
  <c r="E58" i="18"/>
  <c r="AD58" i="5" s="1"/>
  <c r="U58" i="5" s="1"/>
  <c r="K59" i="18"/>
  <c r="G59" i="18" s="1"/>
  <c r="BN118" i="5"/>
  <c r="E96" i="18"/>
  <c r="AD96" i="5" s="1"/>
  <c r="U96" i="5" s="1"/>
  <c r="BN57" i="5"/>
  <c r="BN51" i="5"/>
  <c r="E50" i="18"/>
  <c r="AD50" i="5" s="1"/>
  <c r="E153" i="18"/>
  <c r="E185" i="18"/>
  <c r="E111" i="18"/>
  <c r="E157" i="18"/>
  <c r="AD157" i="5" s="1"/>
  <c r="U157" i="5" s="1"/>
  <c r="E107" i="18"/>
  <c r="AD107" i="5" s="1"/>
  <c r="U107" i="5" s="1"/>
  <c r="E152" i="18"/>
  <c r="AD152" i="5" s="1"/>
  <c r="E110" i="18"/>
  <c r="AD110" i="5" s="1"/>
  <c r="U110" i="5" s="1"/>
  <c r="E106" i="18"/>
  <c r="AD106" i="5" s="1"/>
  <c r="E156" i="18"/>
  <c r="AD156" i="5" s="1"/>
  <c r="U156" i="5" s="1"/>
  <c r="E187" i="18"/>
  <c r="E155" i="18"/>
  <c r="AD155" i="5" s="1"/>
  <c r="U155" i="5" s="1"/>
  <c r="E66" i="18"/>
  <c r="AD66" i="5" s="1"/>
  <c r="U66" i="5" s="1"/>
  <c r="E87" i="18"/>
  <c r="AD87" i="5" s="1"/>
  <c r="E95" i="18"/>
  <c r="AD95" i="5" s="1"/>
  <c r="U95" i="5" s="1"/>
  <c r="E170" i="18"/>
  <c r="E88" i="18"/>
  <c r="AD88" i="5" s="1"/>
  <c r="U88" i="5" s="1"/>
  <c r="E97" i="18"/>
  <c r="AD97" i="5" s="1"/>
  <c r="U97" i="5" s="1"/>
  <c r="E171" i="18"/>
  <c r="E98" i="18"/>
  <c r="AD98" i="5" s="1"/>
  <c r="U98" i="5" s="1"/>
  <c r="E135" i="18"/>
  <c r="AD135" i="5" s="1"/>
  <c r="U135" i="5" s="1"/>
  <c r="E52" i="18"/>
  <c r="AD52" i="5" s="1"/>
  <c r="U52" i="5" s="1"/>
  <c r="E53" i="18"/>
  <c r="AD53" i="5" s="1"/>
  <c r="U53" i="5" s="1"/>
  <c r="E133" i="18"/>
  <c r="AD133" i="5" s="1"/>
  <c r="U133" i="5" s="1"/>
  <c r="E132" i="18"/>
  <c r="AD132" i="5" s="1"/>
  <c r="U132" i="5" s="1"/>
  <c r="E65" i="18"/>
  <c r="AD65" i="5" s="1"/>
  <c r="E136" i="18"/>
  <c r="AD136" i="5" s="1"/>
  <c r="U136" i="5" s="1"/>
  <c r="E86" i="18"/>
  <c r="AD86" i="5" s="1"/>
  <c r="U86" i="5" s="1"/>
  <c r="E84" i="18"/>
  <c r="AD84" i="5" s="1"/>
  <c r="U84" i="5" s="1"/>
  <c r="E29" i="18"/>
  <c r="AD29" i="5" s="1"/>
  <c r="U29" i="5" s="1"/>
  <c r="E26" i="18"/>
  <c r="AD26" i="5" s="1"/>
  <c r="U26" i="5" s="1"/>
  <c r="E25" i="18"/>
  <c r="AD25" i="5" s="1"/>
  <c r="U25" i="5" s="1"/>
  <c r="E22" i="18"/>
  <c r="AD22" i="5" s="1"/>
  <c r="U22" i="5" s="1"/>
  <c r="E24" i="18"/>
  <c r="AD24" i="5" s="1"/>
  <c r="U24" i="5" s="1"/>
  <c r="E27" i="18"/>
  <c r="AD27" i="5" s="1"/>
  <c r="U27" i="5" s="1"/>
  <c r="E28" i="18"/>
  <c r="AD28" i="5" s="1"/>
  <c r="U28" i="5" s="1"/>
  <c r="O120" i="6"/>
  <c r="O116" i="6" s="1"/>
  <c r="O135" i="6" s="1"/>
  <c r="I126" i="6"/>
  <c r="L120" i="6"/>
  <c r="F28" i="11"/>
  <c r="X124" i="5" s="1"/>
  <c r="AA124" i="5" s="1"/>
  <c r="E12" i="18"/>
  <c r="AD12" i="5" s="1"/>
  <c r="E13" i="18"/>
  <c r="AD13" i="5" s="1"/>
  <c r="U13" i="5" s="1"/>
  <c r="BN169" i="5"/>
  <c r="E71" i="18"/>
  <c r="AD71" i="5" s="1"/>
  <c r="U71" i="5" s="1"/>
  <c r="E72" i="18"/>
  <c r="AD72" i="5" s="1"/>
  <c r="U72" i="5" s="1"/>
  <c r="E69" i="18"/>
  <c r="AD69" i="5" s="1"/>
  <c r="U159" i="5" l="1"/>
  <c r="AC158" i="5"/>
  <c r="Q124" i="5"/>
  <c r="AE124" i="5"/>
  <c r="V124" i="5" s="1"/>
  <c r="S59" i="5"/>
  <c r="T59" i="5"/>
  <c r="L59" i="18" s="1"/>
  <c r="H59" i="18" s="1"/>
  <c r="U87" i="5"/>
  <c r="BN87" i="5" s="1"/>
  <c r="S177" i="5"/>
  <c r="T177" i="5"/>
  <c r="U144" i="5"/>
  <c r="BN144" i="5" s="1"/>
  <c r="AC142" i="5"/>
  <c r="AD170" i="5"/>
  <c r="AD111" i="5"/>
  <c r="U111" i="5" s="1"/>
  <c r="BN111" i="5" s="1"/>
  <c r="AD189" i="5"/>
  <c r="AC93" i="5"/>
  <c r="AD171" i="5"/>
  <c r="U171" i="5" s="1"/>
  <c r="BN171" i="5" s="1"/>
  <c r="AD187" i="5"/>
  <c r="U187" i="5" s="1"/>
  <c r="BN187" i="5" s="1"/>
  <c r="AD185" i="5"/>
  <c r="AD83" i="5"/>
  <c r="U83" i="5" s="1"/>
  <c r="BN83" i="5" s="1"/>
  <c r="U106" i="5"/>
  <c r="BN106" i="5" s="1"/>
  <c r="AD194" i="5"/>
  <c r="AA188" i="5"/>
  <c r="Q188" i="5" s="1"/>
  <c r="K188" i="18" s="1"/>
  <c r="G188" i="18" s="1"/>
  <c r="AC101" i="5"/>
  <c r="T101" i="5" s="1"/>
  <c r="L101" i="18" s="1"/>
  <c r="H101" i="18" s="1"/>
  <c r="T117" i="5"/>
  <c r="S117" i="5"/>
  <c r="S79" i="5"/>
  <c r="T79" i="5"/>
  <c r="L75" i="18" s="1"/>
  <c r="H75" i="18" s="1"/>
  <c r="J74" i="18" s="1"/>
  <c r="U152" i="5"/>
  <c r="AD153" i="5"/>
  <c r="U153" i="5" s="1"/>
  <c r="BN153" i="5" s="1"/>
  <c r="AC89" i="5"/>
  <c r="E125" i="18"/>
  <c r="AD125" i="5" s="1"/>
  <c r="U125" i="5" s="1"/>
  <c r="U69" i="5"/>
  <c r="BN69" i="5" s="1"/>
  <c r="AC68" i="5"/>
  <c r="R167" i="5"/>
  <c r="U65" i="5"/>
  <c r="BN65" i="5" s="1"/>
  <c r="AC64" i="5"/>
  <c r="AC54" i="5"/>
  <c r="U55" i="5"/>
  <c r="P188" i="5"/>
  <c r="AA177" i="5"/>
  <c r="AC49" i="5"/>
  <c r="U50" i="5"/>
  <c r="BN50" i="5" s="1"/>
  <c r="R75" i="5"/>
  <c r="U37" i="5"/>
  <c r="BN37" i="5" s="1"/>
  <c r="AC36" i="5"/>
  <c r="P139" i="5"/>
  <c r="Q139" i="5"/>
  <c r="P54" i="5"/>
  <c r="Q54" i="5"/>
  <c r="K54" i="18" s="1"/>
  <c r="G54" i="18" s="1"/>
  <c r="U147" i="5"/>
  <c r="P49" i="5"/>
  <c r="Q49" i="5"/>
  <c r="K49" i="18" s="1"/>
  <c r="G49" i="18" s="1"/>
  <c r="Q101" i="5"/>
  <c r="K101" i="18" s="1"/>
  <c r="G101" i="18" s="1"/>
  <c r="P101" i="5"/>
  <c r="P105" i="5"/>
  <c r="Q105" i="5"/>
  <c r="K105" i="18" s="1"/>
  <c r="G105" i="18" s="1"/>
  <c r="Q93" i="5"/>
  <c r="K93" i="18" s="1"/>
  <c r="G93" i="18" s="1"/>
  <c r="I78" i="18" s="1"/>
  <c r="D82" i="18" s="1"/>
  <c r="AB82" i="5" s="1"/>
  <c r="R82" i="5" s="1"/>
  <c r="P93" i="5"/>
  <c r="AD42" i="5"/>
  <c r="U42" i="5" s="1"/>
  <c r="BN42" i="5" s="1"/>
  <c r="U41" i="5"/>
  <c r="AB154" i="5"/>
  <c r="R154" i="5" s="1"/>
  <c r="BN154" i="5" s="1"/>
  <c r="R152" i="5"/>
  <c r="Q64" i="5"/>
  <c r="K64" i="18" s="1"/>
  <c r="G64" i="18" s="1"/>
  <c r="P64" i="5"/>
  <c r="Q36" i="5"/>
  <c r="K36" i="18" s="1"/>
  <c r="G36" i="18" s="1"/>
  <c r="I35" i="18" s="1"/>
  <c r="D36" i="18" s="1"/>
  <c r="AB36" i="5" s="1"/>
  <c r="R36" i="5" s="1"/>
  <c r="P36" i="5"/>
  <c r="Q192" i="5"/>
  <c r="K192" i="18" s="1"/>
  <c r="G192" i="18" s="1"/>
  <c r="P192" i="5"/>
  <c r="AA68" i="5"/>
  <c r="AC21" i="5"/>
  <c r="AA21" i="5"/>
  <c r="AC14" i="5"/>
  <c r="T14" i="5" s="1"/>
  <c r="L14" i="18" s="1"/>
  <c r="H14" i="18" s="1"/>
  <c r="U15" i="5"/>
  <c r="BN15" i="5" s="1"/>
  <c r="BN16" i="5"/>
  <c r="AA14" i="5"/>
  <c r="BN39" i="5"/>
  <c r="Q17" i="21"/>
  <c r="J26" i="11"/>
  <c r="F18" i="11"/>
  <c r="J6" i="11"/>
  <c r="I112" i="18"/>
  <c r="D114" i="18" s="1"/>
  <c r="AB114" i="5" s="1"/>
  <c r="R114" i="5" s="1"/>
  <c r="D77" i="18"/>
  <c r="AB77" i="5" s="1"/>
  <c r="R77" i="5" s="1"/>
  <c r="D76" i="18"/>
  <c r="AB76" i="5" s="1"/>
  <c r="R76" i="5" s="1"/>
  <c r="BN109" i="5"/>
  <c r="D147" i="18"/>
  <c r="AB147" i="5" s="1"/>
  <c r="BN56" i="5"/>
  <c r="BN180" i="5"/>
  <c r="BN18" i="5"/>
  <c r="BN156" i="5"/>
  <c r="D168" i="18"/>
  <c r="AB168" i="5" s="1"/>
  <c r="R168" i="5" s="1"/>
  <c r="BN24" i="5"/>
  <c r="BN94" i="5"/>
  <c r="BN97" i="5"/>
  <c r="BN17" i="5"/>
  <c r="BN102" i="5"/>
  <c r="BN22" i="5"/>
  <c r="BN95" i="5"/>
  <c r="BN96" i="5"/>
  <c r="BN66" i="5"/>
  <c r="BN71" i="5"/>
  <c r="BN107" i="5"/>
  <c r="BN72" i="5"/>
  <c r="BN157" i="5"/>
  <c r="BN25" i="5"/>
  <c r="BN98" i="5"/>
  <c r="BN110" i="5"/>
  <c r="BN155" i="5"/>
  <c r="Q51" i="21"/>
  <c r="H51" i="21" s="1"/>
  <c r="G51" i="21"/>
  <c r="M64" i="21"/>
  <c r="Q65" i="21"/>
  <c r="N64" i="21" s="1"/>
  <c r="M89" i="21"/>
  <c r="Y51" i="4"/>
  <c r="Z51" i="4" s="1"/>
  <c r="BN86" i="5"/>
  <c r="BN88" i="5"/>
  <c r="BN84" i="5"/>
  <c r="L126" i="6"/>
  <c r="O136" i="6"/>
  <c r="D46" i="16"/>
  <c r="E148" i="18"/>
  <c r="AD148" i="5" s="1"/>
  <c r="U148" i="5" s="1"/>
  <c r="F21" i="11"/>
  <c r="F22" i="11"/>
  <c r="F19" i="11"/>
  <c r="F20" i="11"/>
  <c r="F50" i="11"/>
  <c r="F49" i="11"/>
  <c r="F48" i="11"/>
  <c r="F52" i="11"/>
  <c r="F51" i="11"/>
  <c r="F29" i="11"/>
  <c r="F33" i="11"/>
  <c r="U12" i="5"/>
  <c r="T11" i="5"/>
  <c r="BN179" i="5"/>
  <c r="L177" i="18"/>
  <c r="H177" i="18" s="1"/>
  <c r="J174" i="18" s="1"/>
  <c r="E182" i="18" s="1"/>
  <c r="AD182" i="5" s="1"/>
  <c r="U182" i="5" s="1"/>
  <c r="T158" i="5" l="1"/>
  <c r="S158" i="5"/>
  <c r="AA151" i="5"/>
  <c r="Q151" i="5" s="1"/>
  <c r="K151" i="18" s="1"/>
  <c r="G151" i="18" s="1"/>
  <c r="S101" i="5"/>
  <c r="I100" i="18"/>
  <c r="D105" i="18" s="1"/>
  <c r="AB105" i="5" s="1"/>
  <c r="R105" i="5" s="1"/>
  <c r="L79" i="18"/>
  <c r="H79" i="18" s="1"/>
  <c r="BN152" i="5"/>
  <c r="AC151" i="5"/>
  <c r="T151" i="5" s="1"/>
  <c r="L151" i="18" s="1"/>
  <c r="H151" i="18" s="1"/>
  <c r="U194" i="5"/>
  <c r="BN194" i="5" s="1"/>
  <c r="AC192" i="5"/>
  <c r="T93" i="5"/>
  <c r="L93" i="18" s="1"/>
  <c r="H93" i="18" s="1"/>
  <c r="S93" i="5"/>
  <c r="AC82" i="5"/>
  <c r="U189" i="5"/>
  <c r="BN189" i="5" s="1"/>
  <c r="AC188" i="5"/>
  <c r="U170" i="5"/>
  <c r="BN170" i="5" s="1"/>
  <c r="AC168" i="5"/>
  <c r="S142" i="5"/>
  <c r="T142" i="5"/>
  <c r="L142" i="18" s="1"/>
  <c r="H142" i="18" s="1"/>
  <c r="J138" i="18" s="1"/>
  <c r="I183" i="18"/>
  <c r="D188" i="18" s="1"/>
  <c r="AB188" i="5" s="1"/>
  <c r="R188" i="5" s="1"/>
  <c r="AC105" i="5"/>
  <c r="U185" i="5"/>
  <c r="BN185" i="5" s="1"/>
  <c r="AC184" i="5"/>
  <c r="S151" i="5"/>
  <c r="AD151" i="5"/>
  <c r="U151" i="5" s="1"/>
  <c r="T89" i="5"/>
  <c r="S89" i="5"/>
  <c r="AA74" i="5"/>
  <c r="P74" i="5" s="1"/>
  <c r="AC40" i="5"/>
  <c r="S40" i="5" s="1"/>
  <c r="AC146" i="5"/>
  <c r="T36" i="5"/>
  <c r="L36" i="18" s="1"/>
  <c r="H36" i="18" s="1"/>
  <c r="S36" i="5"/>
  <c r="AA166" i="5"/>
  <c r="R147" i="5"/>
  <c r="BN147" i="5" s="1"/>
  <c r="AA146" i="5"/>
  <c r="M121" i="24"/>
  <c r="N121" i="24" s="1"/>
  <c r="L93" i="24" s="1"/>
  <c r="N93" i="24" s="1"/>
  <c r="I118" i="6" s="1"/>
  <c r="K139" i="18"/>
  <c r="G139" i="18" s="1"/>
  <c r="I138" i="18" s="1"/>
  <c r="S49" i="5"/>
  <c r="T49" i="5"/>
  <c r="L49" i="18" s="1"/>
  <c r="H49" i="18" s="1"/>
  <c r="S54" i="5"/>
  <c r="T54" i="5"/>
  <c r="L54" i="18" s="1"/>
  <c r="H54" i="18" s="1"/>
  <c r="Q68" i="5"/>
  <c r="K68" i="18" s="1"/>
  <c r="G68" i="18" s="1"/>
  <c r="P68" i="5"/>
  <c r="AD146" i="5"/>
  <c r="U146" i="5" s="1"/>
  <c r="Q177" i="5"/>
  <c r="K177" i="18" s="1"/>
  <c r="G177" i="18" s="1"/>
  <c r="I174" i="18" s="1"/>
  <c r="D182" i="18" s="1"/>
  <c r="AB182" i="5" s="1"/>
  <c r="R182" i="5" s="1"/>
  <c r="P177" i="5"/>
  <c r="S64" i="5"/>
  <c r="T64" i="5"/>
  <c r="L64" i="18" s="1"/>
  <c r="H64" i="18" s="1"/>
  <c r="T68" i="5"/>
  <c r="L68" i="18" s="1"/>
  <c r="H68" i="18" s="1"/>
  <c r="S68" i="5"/>
  <c r="Q21" i="5"/>
  <c r="K21" i="18" s="1"/>
  <c r="G21" i="18" s="1"/>
  <c r="I20" i="18" s="1"/>
  <c r="D32" i="18" s="1"/>
  <c r="AB32" i="5" s="1"/>
  <c r="R32" i="5" s="1"/>
  <c r="P21" i="5"/>
  <c r="S21" i="5"/>
  <c r="T21" i="5"/>
  <c r="L21" i="18" s="1"/>
  <c r="H21" i="18" s="1"/>
  <c r="J20" i="18" s="1"/>
  <c r="E32" i="18" s="1"/>
  <c r="AD32" i="5" s="1"/>
  <c r="U32" i="5" s="1"/>
  <c r="P14" i="5"/>
  <c r="Q14" i="5"/>
  <c r="K14" i="18" s="1"/>
  <c r="G14" i="18" s="1"/>
  <c r="U40" i="4"/>
  <c r="Y40" i="4" s="1"/>
  <c r="J15" i="14"/>
  <c r="K15" i="14" s="1"/>
  <c r="F30" i="11"/>
  <c r="F31" i="11"/>
  <c r="F32" i="11"/>
  <c r="K126" i="18"/>
  <c r="G126" i="18" s="1"/>
  <c r="I124" i="18" s="1"/>
  <c r="D113" i="18"/>
  <c r="D116" i="18"/>
  <c r="AB116" i="5" s="1"/>
  <c r="R116" i="5" s="1"/>
  <c r="D117" i="18"/>
  <c r="D79" i="18"/>
  <c r="AB79" i="5" s="1"/>
  <c r="I48" i="18"/>
  <c r="D54" i="18" s="1"/>
  <c r="AB54" i="5" s="1"/>
  <c r="R54" i="5" s="1"/>
  <c r="BN193" i="5"/>
  <c r="D89" i="18"/>
  <c r="AB89" i="5" s="1"/>
  <c r="R89" i="5" s="1"/>
  <c r="L117" i="18"/>
  <c r="H117" i="18" s="1"/>
  <c r="D44" i="18"/>
  <c r="AB44" i="5" s="1"/>
  <c r="R44" i="5" s="1"/>
  <c r="D40" i="18"/>
  <c r="AB40" i="5" s="1"/>
  <c r="R40" i="5" s="1"/>
  <c r="M50" i="21"/>
  <c r="Q19" i="21" s="1"/>
  <c r="N50" i="21"/>
  <c r="D93" i="18"/>
  <c r="AB93" i="5" s="1"/>
  <c r="R93" i="5" s="1"/>
  <c r="BN55" i="5"/>
  <c r="D47" i="18"/>
  <c r="AB47" i="5" s="1"/>
  <c r="R47" i="5" s="1"/>
  <c r="J95" i="21"/>
  <c r="L89" i="18"/>
  <c r="H89" i="18" s="1"/>
  <c r="D101" i="18"/>
  <c r="AB101" i="5" s="1"/>
  <c r="AY129" i="5"/>
  <c r="AU129" i="5" s="1"/>
  <c r="AY123" i="5"/>
  <c r="AU123" i="5" s="1"/>
  <c r="D104" i="18"/>
  <c r="AB104" i="5" s="1"/>
  <c r="R104" i="5" s="1"/>
  <c r="K131" i="18"/>
  <c r="G131" i="18" s="1"/>
  <c r="I129" i="18" s="1"/>
  <c r="L124" i="18"/>
  <c r="H124" i="18" s="1"/>
  <c r="E177" i="18"/>
  <c r="AD177" i="5" s="1"/>
  <c r="U177" i="5" s="1"/>
  <c r="E176" i="18"/>
  <c r="AD176" i="5" s="1"/>
  <c r="U176" i="5" s="1"/>
  <c r="E175" i="18"/>
  <c r="AD175" i="5" s="1"/>
  <c r="L11" i="18"/>
  <c r="H11" i="18" s="1"/>
  <c r="J10" i="18" s="1"/>
  <c r="E76" i="18"/>
  <c r="E77" i="18"/>
  <c r="E75" i="18"/>
  <c r="AD75" i="5" s="1"/>
  <c r="D175" i="18" l="1"/>
  <c r="AB175" i="5" s="1"/>
  <c r="D177" i="18"/>
  <c r="AB177" i="5" s="1"/>
  <c r="R177" i="5" s="1"/>
  <c r="Q74" i="5"/>
  <c r="K74" i="18" s="1"/>
  <c r="G74" i="18" s="1"/>
  <c r="I63" i="18" s="1"/>
  <c r="P151" i="5"/>
  <c r="T40" i="5"/>
  <c r="L40" i="18" s="1"/>
  <c r="H40" i="18" s="1"/>
  <c r="J35" i="18" s="1"/>
  <c r="E40" i="18" s="1"/>
  <c r="AD40" i="5" s="1"/>
  <c r="U40" i="5" s="1"/>
  <c r="AE151" i="5"/>
  <c r="V151" i="5" s="1"/>
  <c r="V61" i="4" s="1"/>
  <c r="W61" i="4" s="1"/>
  <c r="D184" i="18"/>
  <c r="AB184" i="5" s="1"/>
  <c r="R184" i="5" s="1"/>
  <c r="S184" i="5"/>
  <c r="T184" i="5"/>
  <c r="L184" i="18" s="1"/>
  <c r="H184" i="18" s="1"/>
  <c r="E139" i="18"/>
  <c r="AD139" i="5" s="1"/>
  <c r="E142" i="18"/>
  <c r="AD142" i="5" s="1"/>
  <c r="U142" i="5" s="1"/>
  <c r="T188" i="5"/>
  <c r="L188" i="18" s="1"/>
  <c r="H188" i="18" s="1"/>
  <c r="S188" i="5"/>
  <c r="T192" i="5"/>
  <c r="L192" i="18" s="1"/>
  <c r="H192" i="18" s="1"/>
  <c r="S192" i="5"/>
  <c r="D192" i="18"/>
  <c r="AB192" i="5" s="1"/>
  <c r="R192" i="5" s="1"/>
  <c r="T105" i="5"/>
  <c r="L105" i="18" s="1"/>
  <c r="H105" i="18" s="1"/>
  <c r="J100" i="18" s="1"/>
  <c r="E105" i="18" s="1"/>
  <c r="AD105" i="5" s="1"/>
  <c r="U105" i="5" s="1"/>
  <c r="S105" i="5"/>
  <c r="T168" i="5"/>
  <c r="L168" i="18" s="1"/>
  <c r="H168" i="18" s="1"/>
  <c r="J166" i="18" s="1"/>
  <c r="S168" i="5"/>
  <c r="S82" i="5"/>
  <c r="T82" i="5"/>
  <c r="L82" i="18" s="1"/>
  <c r="H82" i="18" s="1"/>
  <c r="J78" i="18" s="1"/>
  <c r="E79" i="18" s="1"/>
  <c r="AD79" i="5" s="1"/>
  <c r="AD77" i="5"/>
  <c r="U77" i="5" s="1"/>
  <c r="BN77" i="5" s="1"/>
  <c r="D142" i="18"/>
  <c r="AB142" i="5" s="1"/>
  <c r="R142" i="5" s="1"/>
  <c r="D139" i="18"/>
  <c r="AB139" i="5" s="1"/>
  <c r="AD76" i="5"/>
  <c r="U76" i="5" s="1"/>
  <c r="BN76" i="5" s="1"/>
  <c r="AB113" i="5"/>
  <c r="Q166" i="5"/>
  <c r="K166" i="18" s="1"/>
  <c r="G166" i="18" s="1"/>
  <c r="P166" i="5"/>
  <c r="T146" i="5"/>
  <c r="L146" i="18" s="1"/>
  <c r="H146" i="18" s="1"/>
  <c r="AE146" i="5"/>
  <c r="S146" i="5"/>
  <c r="R175" i="5"/>
  <c r="AA35" i="5"/>
  <c r="U75" i="5"/>
  <c r="BN75" i="5" s="1"/>
  <c r="AD174" i="5"/>
  <c r="U174" i="5" s="1"/>
  <c r="U175" i="5"/>
  <c r="BN175" i="5" s="1"/>
  <c r="AC174" i="5"/>
  <c r="R101" i="5"/>
  <c r="AA100" i="5"/>
  <c r="R79" i="5"/>
  <c r="AA78" i="5"/>
  <c r="AB117" i="5"/>
  <c r="R117" i="5" s="1"/>
  <c r="AV117" i="5" s="1"/>
  <c r="D176" i="18"/>
  <c r="AB176" i="5" s="1"/>
  <c r="R176" i="5" s="1"/>
  <c r="BN176" i="5" s="1"/>
  <c r="Q146" i="5"/>
  <c r="K146" i="18" s="1"/>
  <c r="G146" i="18" s="1"/>
  <c r="P146" i="5"/>
  <c r="E31" i="18"/>
  <c r="AD31" i="5" s="1"/>
  <c r="U31" i="5" s="1"/>
  <c r="E30" i="18"/>
  <c r="AD30" i="5" s="1"/>
  <c r="U30" i="5" s="1"/>
  <c r="E21" i="18"/>
  <c r="AD21" i="5" s="1"/>
  <c r="U21" i="5" s="1"/>
  <c r="D31" i="18"/>
  <c r="D21" i="18"/>
  <c r="AB21" i="5" s="1"/>
  <c r="D30" i="18"/>
  <c r="AB30" i="5" s="1"/>
  <c r="R30" i="5" s="1"/>
  <c r="J112" i="18"/>
  <c r="E114" i="18" s="1"/>
  <c r="D59" i="18"/>
  <c r="AB59" i="5" s="1"/>
  <c r="R59" i="5" s="1"/>
  <c r="D49" i="18"/>
  <c r="AB49" i="5" s="1"/>
  <c r="J48" i="18"/>
  <c r="E59" i="18" s="1"/>
  <c r="AD59" i="5" s="1"/>
  <c r="U59" i="5" s="1"/>
  <c r="AV116" i="5"/>
  <c r="S60" i="4"/>
  <c r="T60" i="4" s="1"/>
  <c r="Q20" i="21"/>
  <c r="K123" i="18"/>
  <c r="G123" i="18" s="1"/>
  <c r="D126" i="18"/>
  <c r="AB126" i="5" s="1"/>
  <c r="R126" i="5" s="1"/>
  <c r="D125" i="18"/>
  <c r="AB125" i="5" s="1"/>
  <c r="R125" i="5" s="1"/>
  <c r="D130" i="18"/>
  <c r="AB130" i="5" s="1"/>
  <c r="R130" i="5" s="1"/>
  <c r="D131" i="18"/>
  <c r="AB131" i="5" s="1"/>
  <c r="R131" i="5" s="1"/>
  <c r="E14" i="18"/>
  <c r="AD14" i="5" s="1"/>
  <c r="U14" i="5" s="1"/>
  <c r="E19" i="18"/>
  <c r="AD19" i="5" s="1"/>
  <c r="U19" i="5" s="1"/>
  <c r="E11" i="18"/>
  <c r="AD11" i="5" s="1"/>
  <c r="AA183" i="5" l="1"/>
  <c r="E47" i="18"/>
  <c r="I145" i="18"/>
  <c r="D166" i="18" s="1"/>
  <c r="AA174" i="5"/>
  <c r="Q174" i="5" s="1"/>
  <c r="K174" i="18" s="1"/>
  <c r="G174" i="18" s="1"/>
  <c r="D64" i="18"/>
  <c r="AB64" i="5" s="1"/>
  <c r="R64" i="5" s="1"/>
  <c r="D68" i="18"/>
  <c r="AB68" i="5" s="1"/>
  <c r="R68" i="5" s="1"/>
  <c r="E44" i="18"/>
  <c r="AD44" i="5" s="1"/>
  <c r="U44" i="5" s="1"/>
  <c r="BN44" i="5" s="1"/>
  <c r="E36" i="18"/>
  <c r="AD36" i="5" s="1"/>
  <c r="U36" i="5" s="1"/>
  <c r="E101" i="18"/>
  <c r="AD101" i="5" s="1"/>
  <c r="U139" i="5"/>
  <c r="AC138" i="5"/>
  <c r="AD138" i="5"/>
  <c r="U138" i="5" s="1"/>
  <c r="J183" i="18"/>
  <c r="E104" i="18"/>
  <c r="AD104" i="5" s="1"/>
  <c r="U104" i="5" s="1"/>
  <c r="E167" i="18"/>
  <c r="AD167" i="5" s="1"/>
  <c r="E168" i="18"/>
  <c r="AD168" i="5" s="1"/>
  <c r="U168" i="5" s="1"/>
  <c r="D74" i="18"/>
  <c r="AB74" i="5" s="1"/>
  <c r="R74" i="5" s="1"/>
  <c r="BN30" i="5"/>
  <c r="AB166" i="5"/>
  <c r="R166" i="5" s="1"/>
  <c r="AV166" i="5" s="1"/>
  <c r="U101" i="5"/>
  <c r="U79" i="5"/>
  <c r="P100" i="5"/>
  <c r="Q100" i="5"/>
  <c r="K100" i="18" s="1"/>
  <c r="G100" i="18" s="1"/>
  <c r="Q183" i="5"/>
  <c r="K183" i="18" s="1"/>
  <c r="G183" i="18" s="1"/>
  <c r="P183" i="5"/>
  <c r="R139" i="5"/>
  <c r="AA138" i="5"/>
  <c r="AC74" i="5"/>
  <c r="R49" i="5"/>
  <c r="AA48" i="5"/>
  <c r="P78" i="5"/>
  <c r="Q78" i="5"/>
  <c r="K78" i="18" s="1"/>
  <c r="G78" i="18" s="1"/>
  <c r="T174" i="5"/>
  <c r="L174" i="18" s="1"/>
  <c r="H174" i="18" s="1"/>
  <c r="S174" i="5"/>
  <c r="V146" i="5"/>
  <c r="V60" i="4" s="1"/>
  <c r="W60" i="4" s="1"/>
  <c r="R113" i="5"/>
  <c r="AV113" i="5" s="1"/>
  <c r="AY112" i="5" s="1"/>
  <c r="AW112" i="5" s="1"/>
  <c r="AE112" i="5"/>
  <c r="AD47" i="5"/>
  <c r="U47" i="5" s="1"/>
  <c r="BN47" i="5" s="1"/>
  <c r="P35" i="5"/>
  <c r="Q35" i="5"/>
  <c r="K35" i="18" s="1"/>
  <c r="G35" i="18" s="1"/>
  <c r="AB31" i="5"/>
  <c r="R31" i="5" s="1"/>
  <c r="BN31" i="5" s="1"/>
  <c r="AC20" i="5"/>
  <c r="T20" i="5" s="1"/>
  <c r="L20" i="18" s="1"/>
  <c r="H20" i="18" s="1"/>
  <c r="AD20" i="5"/>
  <c r="U20" i="5" s="1"/>
  <c r="R21" i="5"/>
  <c r="E116" i="18"/>
  <c r="E117" i="18"/>
  <c r="E113" i="18"/>
  <c r="D151" i="18"/>
  <c r="E93" i="18"/>
  <c r="AD93" i="5" s="1"/>
  <c r="U93" i="5" s="1"/>
  <c r="D146" i="18"/>
  <c r="BN104" i="5"/>
  <c r="E82" i="18"/>
  <c r="AD82" i="5" s="1"/>
  <c r="U82" i="5" s="1"/>
  <c r="E89" i="18"/>
  <c r="AD89" i="5" s="1"/>
  <c r="U89" i="5" s="1"/>
  <c r="E49" i="18"/>
  <c r="AD49" i="5" s="1"/>
  <c r="E54" i="18"/>
  <c r="AD54" i="5" s="1"/>
  <c r="U54" i="5" s="1"/>
  <c r="BN131" i="5"/>
  <c r="BN130" i="5"/>
  <c r="U11" i="5"/>
  <c r="AD10" i="5"/>
  <c r="U10" i="5" s="1"/>
  <c r="AC10" i="5"/>
  <c r="S10" i="5" s="1"/>
  <c r="AE174" i="5" l="1"/>
  <c r="V174" i="5" s="1"/>
  <c r="Y61" i="4" s="1"/>
  <c r="Z61" i="4" s="1"/>
  <c r="AC100" i="5"/>
  <c r="P174" i="5"/>
  <c r="AD100" i="5"/>
  <c r="U100" i="5" s="1"/>
  <c r="E192" i="18"/>
  <c r="AD192" i="5" s="1"/>
  <c r="U192" i="5" s="1"/>
  <c r="E184" i="18"/>
  <c r="AD184" i="5" s="1"/>
  <c r="E188" i="18"/>
  <c r="AD188" i="5" s="1"/>
  <c r="U188" i="5" s="1"/>
  <c r="U167" i="5"/>
  <c r="BN167" i="5" s="1"/>
  <c r="AC166" i="5"/>
  <c r="AD166" i="5"/>
  <c r="U166" i="5" s="1"/>
  <c r="S138" i="5"/>
  <c r="T138" i="5"/>
  <c r="L138" i="18" s="1"/>
  <c r="H138" i="18" s="1"/>
  <c r="J122" i="18" s="1"/>
  <c r="AA63" i="5"/>
  <c r="Q63" i="5" s="1"/>
  <c r="K63" i="18" s="1"/>
  <c r="G63" i="18" s="1"/>
  <c r="I62" i="18" s="1"/>
  <c r="D63" i="18" s="1"/>
  <c r="S20" i="5"/>
  <c r="Q138" i="5"/>
  <c r="K138" i="18" s="1"/>
  <c r="G138" i="18" s="1"/>
  <c r="P138" i="5"/>
  <c r="AE138" i="5"/>
  <c r="V138" i="5" s="1"/>
  <c r="S63" i="4" s="1"/>
  <c r="T63" i="4" s="1"/>
  <c r="AD116" i="5"/>
  <c r="U116" i="5" s="1"/>
  <c r="BN116" i="5" s="1"/>
  <c r="AC78" i="5"/>
  <c r="AB146" i="5"/>
  <c r="P48" i="5"/>
  <c r="Q48" i="5"/>
  <c r="K48" i="18" s="1"/>
  <c r="G48" i="18" s="1"/>
  <c r="AC35" i="5"/>
  <c r="AD78" i="5"/>
  <c r="U78" i="5" s="1"/>
  <c r="AD113" i="5"/>
  <c r="U113" i="5" s="1"/>
  <c r="BN113" i="5" s="1"/>
  <c r="AD48" i="5"/>
  <c r="U48" i="5" s="1"/>
  <c r="U49" i="5"/>
  <c r="AC48" i="5"/>
  <c r="AB151" i="5"/>
  <c r="R151" i="5" s="1"/>
  <c r="AV151" i="5" s="1"/>
  <c r="V112" i="5"/>
  <c r="K112" i="18" s="1"/>
  <c r="G112" i="18" s="1"/>
  <c r="Z46" i="4"/>
  <c r="S74" i="5"/>
  <c r="T74" i="5"/>
  <c r="AD35" i="5"/>
  <c r="U35" i="5" s="1"/>
  <c r="T100" i="5"/>
  <c r="L100" i="18" s="1"/>
  <c r="H100" i="18" s="1"/>
  <c r="S100" i="5"/>
  <c r="AE100" i="5"/>
  <c r="V100" i="5" s="1"/>
  <c r="V51" i="4" s="1"/>
  <c r="W51" i="4" s="1"/>
  <c r="AA20" i="5"/>
  <c r="AE20" i="5" s="1"/>
  <c r="V20" i="5" s="1"/>
  <c r="S50" i="4" s="1"/>
  <c r="T50" i="4" s="1"/>
  <c r="I125" i="6"/>
  <c r="E85" i="17" s="1"/>
  <c r="L118" i="6"/>
  <c r="T10" i="5"/>
  <c r="L10" i="18" s="1"/>
  <c r="H10" i="18" s="1"/>
  <c r="P63" i="5" l="1"/>
  <c r="E129" i="18"/>
  <c r="AD129" i="5" s="1"/>
  <c r="U129" i="5" s="1"/>
  <c r="E138" i="18"/>
  <c r="E124" i="18"/>
  <c r="AD124" i="5" s="1"/>
  <c r="U124" i="5" s="1"/>
  <c r="E123" i="18"/>
  <c r="AD123" i="5" s="1"/>
  <c r="U123" i="5" s="1"/>
  <c r="U184" i="5"/>
  <c r="AD183" i="5"/>
  <c r="U183" i="5" s="1"/>
  <c r="AC183" i="5"/>
  <c r="AE166" i="5"/>
  <c r="V166" i="5" s="1"/>
  <c r="V62" i="4" s="1"/>
  <c r="W62" i="4" s="1"/>
  <c r="S166" i="5"/>
  <c r="T166" i="5"/>
  <c r="L166" i="18" s="1"/>
  <c r="H166" i="18" s="1"/>
  <c r="J145" i="18" s="1"/>
  <c r="Y46" i="4"/>
  <c r="O43" i="4" s="1"/>
  <c r="P20" i="5"/>
  <c r="AB63" i="5"/>
  <c r="R63" i="5" s="1"/>
  <c r="AV63" i="5" s="1"/>
  <c r="T48" i="5"/>
  <c r="L48" i="18" s="1"/>
  <c r="H48" i="18" s="1"/>
  <c r="S48" i="5"/>
  <c r="AE48" i="5"/>
  <c r="V48" i="5" s="1"/>
  <c r="S52" i="4" s="1"/>
  <c r="T52" i="4" s="1"/>
  <c r="R146" i="5"/>
  <c r="AV146" i="5" s="1"/>
  <c r="AY145" i="5" s="1"/>
  <c r="AW145" i="5" s="1"/>
  <c r="S35" i="5"/>
  <c r="AE35" i="5"/>
  <c r="V35" i="5" s="1"/>
  <c r="S51" i="4" s="1"/>
  <c r="T51" i="4" s="1"/>
  <c r="T35" i="5"/>
  <c r="L35" i="18" s="1"/>
  <c r="H35" i="18" s="1"/>
  <c r="AE78" i="5"/>
  <c r="V78" i="5" s="1"/>
  <c r="V50" i="4" s="1"/>
  <c r="W50" i="4" s="1"/>
  <c r="S78" i="5"/>
  <c r="T78" i="5"/>
  <c r="L78" i="18" s="1"/>
  <c r="H78" i="18" s="1"/>
  <c r="Q20" i="5"/>
  <c r="K20" i="18" s="1"/>
  <c r="G20" i="18" s="1"/>
  <c r="D100" i="18"/>
  <c r="S61" i="4"/>
  <c r="T61" i="4" s="1"/>
  <c r="D78" i="18"/>
  <c r="N75" i="21"/>
  <c r="M74" i="21" s="1"/>
  <c r="K124" i="18"/>
  <c r="G124" i="18" s="1"/>
  <c r="E59" i="16"/>
  <c r="E88" i="17"/>
  <c r="E89" i="17" s="1"/>
  <c r="L116" i="6"/>
  <c r="E46" i="16" s="1"/>
  <c r="U41" i="4" s="1"/>
  <c r="Y41" i="4" s="1"/>
  <c r="X41" i="4" s="1"/>
  <c r="L125" i="6"/>
  <c r="L123" i="6" s="1"/>
  <c r="L135" i="6" s="1"/>
  <c r="T183" i="5" l="1"/>
  <c r="L183" i="18" s="1"/>
  <c r="H183" i="18" s="1"/>
  <c r="J172" i="18" s="1"/>
  <c r="AE183" i="5"/>
  <c r="V183" i="5" s="1"/>
  <c r="Y62" i="4" s="1"/>
  <c r="Z62" i="4" s="1"/>
  <c r="S183" i="5"/>
  <c r="AE145" i="5"/>
  <c r="E166" i="18"/>
  <c r="E151" i="18"/>
  <c r="E146" i="18"/>
  <c r="Z9" i="4"/>
  <c r="J9" i="18"/>
  <c r="E20" i="18" s="1"/>
  <c r="L74" i="18"/>
  <c r="H74" i="18" s="1"/>
  <c r="J63" i="18" s="1"/>
  <c r="E68" i="18" s="1"/>
  <c r="AD68" i="5" s="1"/>
  <c r="U68" i="5" s="1"/>
  <c r="AB78" i="5"/>
  <c r="R78" i="5" s="1"/>
  <c r="AV78" i="5" s="1"/>
  <c r="AB100" i="5"/>
  <c r="R100" i="5" s="1"/>
  <c r="AV100" i="5" s="1"/>
  <c r="Q78" i="21"/>
  <c r="N74" i="21" s="1"/>
  <c r="N67" i="21" s="1"/>
  <c r="M67" i="21"/>
  <c r="Q22" i="21" s="1"/>
  <c r="E74" i="18" l="1"/>
  <c r="AD74" i="5" s="1"/>
  <c r="U74" i="5" s="1"/>
  <c r="V145" i="5"/>
  <c r="W57" i="4"/>
  <c r="E174" i="18"/>
  <c r="E173" i="18"/>
  <c r="AD173" i="5" s="1"/>
  <c r="U173" i="5" s="1"/>
  <c r="E183" i="18"/>
  <c r="E64" i="18"/>
  <c r="AD64" i="5" s="1"/>
  <c r="E48" i="18"/>
  <c r="E35" i="18"/>
  <c r="E10" i="18"/>
  <c r="AY62" i="5"/>
  <c r="AW62" i="5" s="1"/>
  <c r="Q23" i="21"/>
  <c r="E47" i="16"/>
  <c r="E52" i="16" s="1"/>
  <c r="L136" i="6"/>
  <c r="AD63" i="5" l="1"/>
  <c r="U63" i="5" s="1"/>
  <c r="K145" i="18"/>
  <c r="G145" i="18" s="1"/>
  <c r="V57" i="4"/>
  <c r="AC63" i="5"/>
  <c r="S63" i="5" s="1"/>
  <c r="U64" i="5"/>
  <c r="W43" i="4"/>
  <c r="Y43" i="4" s="1"/>
  <c r="X43" i="4" s="1"/>
  <c r="J16" i="14"/>
  <c r="K16" i="14" s="1"/>
  <c r="L16" i="14" s="1"/>
  <c r="O15" i="14" s="1"/>
  <c r="F7" i="14" s="1"/>
  <c r="X173" i="5" s="1"/>
  <c r="AA173" i="5" s="1"/>
  <c r="J94" i="21"/>
  <c r="J96" i="21" s="1"/>
  <c r="M94" i="21" s="1"/>
  <c r="V42" i="4"/>
  <c r="Y42" i="4" s="1"/>
  <c r="X42" i="4" s="1"/>
  <c r="T36" i="4" s="1"/>
  <c r="S36" i="4" s="1"/>
  <c r="S37" i="4" s="1"/>
  <c r="T63" i="5" l="1"/>
  <c r="L63" i="18" s="1"/>
  <c r="H63" i="18" s="1"/>
  <c r="J62" i="18" s="1"/>
  <c r="E78" i="18" s="1"/>
  <c r="AE63" i="5"/>
  <c r="V63" i="5" s="1"/>
  <c r="V49" i="4" s="1"/>
  <c r="W49" i="4" s="1"/>
  <c r="K54" i="4"/>
  <c r="Z11" i="4"/>
  <c r="Q173" i="5"/>
  <c r="AE173" i="5"/>
  <c r="V173" i="5" s="1"/>
  <c r="F9" i="14"/>
  <c r="J5" i="14"/>
  <c r="E63" i="18"/>
  <c r="AY173" i="5"/>
  <c r="AU173" i="5" s="1"/>
  <c r="F8" i="14"/>
  <c r="F10" i="14"/>
  <c r="F12" i="14"/>
  <c r="F11" i="14"/>
  <c r="E100" i="18" l="1"/>
  <c r="AE62" i="5"/>
  <c r="V62" i="5" s="1"/>
  <c r="K62" i="18" s="1"/>
  <c r="G62" i="18" s="1"/>
  <c r="V46" i="4" l="1"/>
  <c r="Z8" i="4" s="1"/>
  <c r="W46" i="4"/>
  <c r="Y60" i="4"/>
  <c r="Z60" i="4" s="1"/>
  <c r="K173" i="18"/>
  <c r="G173" i="18" s="1"/>
  <c r="I172" i="18" s="1"/>
  <c r="D173" i="18" s="1"/>
  <c r="AB173" i="5" s="1"/>
  <c r="K43" i="4" l="1"/>
  <c r="R173" i="5"/>
  <c r="D174" i="18"/>
  <c r="D183" i="18"/>
  <c r="AB183" i="5" l="1"/>
  <c r="R183" i="5" s="1"/>
  <c r="AV183" i="5" s="1"/>
  <c r="AB174" i="5"/>
  <c r="AV173" i="5"/>
  <c r="AY172" i="5" s="1"/>
  <c r="AW172" i="5" s="1"/>
  <c r="BN173" i="5"/>
  <c r="R174" i="5" l="1"/>
  <c r="AV174" i="5" s="1"/>
  <c r="AE172" i="5"/>
  <c r="V172" i="5" s="1"/>
  <c r="K172" i="18" s="1"/>
  <c r="G172" i="18" s="1"/>
  <c r="Z57" i="4" l="1"/>
  <c r="Y57" i="4"/>
  <c r="O54" i="4" s="1"/>
  <c r="S62" i="4"/>
  <c r="T62" i="4" s="1"/>
  <c r="K129" i="18"/>
  <c r="G129" i="18" s="1"/>
  <c r="I122" i="18" s="1"/>
  <c r="Z10" i="4" l="1"/>
  <c r="D138" i="18"/>
  <c r="AB138" i="5" s="1"/>
  <c r="R138" i="5" s="1"/>
  <c r="D124" i="18"/>
  <c r="AB124" i="5" s="1"/>
  <c r="R124" i="5" s="1"/>
  <c r="D123" i="18"/>
  <c r="AB123" i="5" s="1"/>
  <c r="D129" i="18"/>
  <c r="AB129" i="5" s="1"/>
  <c r="R129" i="5" s="1"/>
  <c r="R123" i="5" l="1"/>
  <c r="AE122" i="5"/>
  <c r="V122" i="5" s="1"/>
  <c r="AV129" i="5"/>
  <c r="AV138" i="5"/>
  <c r="AV124" i="5" l="1"/>
  <c r="BN124" i="5"/>
  <c r="T57" i="4"/>
  <c r="AV123" i="5" l="1"/>
  <c r="AY122" i="5" s="1"/>
  <c r="AW122" i="5" s="1"/>
  <c r="BN123" i="5"/>
  <c r="K122" i="18"/>
  <c r="G122" i="18" s="1"/>
  <c r="I121" i="18" s="1"/>
  <c r="S57" i="4" l="1"/>
  <c r="G54" i="4" s="1"/>
  <c r="D145" i="18"/>
  <c r="AB145" i="5" s="1"/>
  <c r="R145" i="5" s="1"/>
  <c r="D172" i="18"/>
  <c r="AB172" i="5" s="1"/>
  <c r="R172" i="5" s="1"/>
  <c r="D122" i="18"/>
  <c r="AB122" i="5" s="1"/>
  <c r="R122" i="5" l="1"/>
  <c r="AV122" i="5" s="1"/>
  <c r="AE121" i="5"/>
  <c r="V121" i="5" s="1"/>
  <c r="Z12" i="4"/>
  <c r="AV172" i="5"/>
  <c r="AV145" i="5"/>
  <c r="S8" i="4" l="1"/>
  <c r="S10" i="4" s="1"/>
  <c r="AY121" i="5"/>
  <c r="AW121" i="5" s="1"/>
  <c r="K121" i="18" l="1"/>
  <c r="G121" i="18" s="1"/>
  <c r="T24" i="4"/>
  <c r="N52" i="4" l="1"/>
  <c r="S26" i="4"/>
  <c r="T26" i="4"/>
  <c r="K12" i="18" l="1"/>
  <c r="G12" i="18" s="1"/>
  <c r="I11" i="18" s="1"/>
  <c r="D12" i="18" s="1"/>
  <c r="AB12" i="5" s="1"/>
  <c r="R12" i="5" l="1"/>
  <c r="D13" i="18"/>
  <c r="AB13" i="5" s="1"/>
  <c r="R13" i="5" s="1"/>
  <c r="Q11" i="5" l="1"/>
  <c r="K11" i="18" l="1"/>
  <c r="G11" i="18" s="1"/>
  <c r="I10" i="18" s="1"/>
  <c r="D19" i="18" l="1"/>
  <c r="D14" i="18"/>
  <c r="AB14" i="5" s="1"/>
  <c r="R14" i="5" s="1"/>
  <c r="D11" i="18"/>
  <c r="AB11" i="5" s="1"/>
  <c r="AB19" i="5" l="1"/>
  <c r="R19" i="5" s="1"/>
  <c r="BN19" i="5" s="1"/>
  <c r="R11" i="5"/>
  <c r="BN11" i="5" s="1"/>
  <c r="AA10" i="5" l="1"/>
  <c r="B11" i="23"/>
  <c r="B16" i="23"/>
  <c r="B19" i="23"/>
  <c r="P10" i="5"/>
  <c r="Q10" i="5"/>
  <c r="K10" i="18" s="1"/>
  <c r="G10" i="18" s="1"/>
  <c r="I9" i="18" s="1"/>
  <c r="AE10" i="5"/>
  <c r="D38" i="23"/>
  <c r="B50" i="23"/>
  <c r="B38" i="23"/>
  <c r="C39" i="23"/>
  <c r="B18" i="23"/>
  <c r="C72" i="23"/>
  <c r="B78" i="23"/>
  <c r="B20" i="23"/>
  <c r="D25" i="23"/>
  <c r="D33" i="23"/>
  <c r="D16" i="23"/>
  <c r="C70" i="23"/>
  <c r="C58" i="23"/>
  <c r="D64" i="23"/>
  <c r="D72" i="23"/>
  <c r="D53" i="23"/>
  <c r="D75" i="23"/>
  <c r="C42" i="23"/>
  <c r="D74" i="23"/>
  <c r="D29" i="23"/>
  <c r="D68" i="23"/>
  <c r="D59" i="23"/>
  <c r="B59" i="23"/>
  <c r="D100" i="23"/>
  <c r="C100" i="23"/>
  <c r="C92" i="23"/>
  <c r="D73" i="23"/>
  <c r="C27" i="23"/>
  <c r="B98" i="23"/>
  <c r="C63" i="23"/>
  <c r="D37" i="23"/>
  <c r="D10" i="23"/>
  <c r="C29" i="23"/>
  <c r="D78" i="23"/>
  <c r="D21" i="23"/>
  <c r="C66" i="23"/>
  <c r="C101" i="23"/>
  <c r="D15" i="23"/>
  <c r="B40" i="23"/>
  <c r="B21" i="23"/>
  <c r="D81" i="23"/>
  <c r="C31" i="23"/>
  <c r="B79" i="23"/>
  <c r="D51" i="23"/>
  <c r="D30" i="23"/>
  <c r="D65" i="23"/>
  <c r="C36" i="23"/>
  <c r="C48" i="23"/>
  <c r="C94" i="23"/>
  <c r="B41" i="23"/>
  <c r="D77" i="23"/>
  <c r="B90" i="23"/>
  <c r="D92" i="23"/>
  <c r="B32" i="23"/>
  <c r="D44" i="23"/>
  <c r="D47" i="23"/>
  <c r="C44" i="23"/>
  <c r="C89" i="23"/>
  <c r="C51" i="23"/>
  <c r="B46" i="23"/>
  <c r="D20" i="23"/>
  <c r="D12" i="23"/>
  <c r="D23" i="23"/>
  <c r="C49" i="23"/>
  <c r="C30" i="23"/>
  <c r="B52" i="23"/>
  <c r="C64" i="23"/>
  <c r="D43" i="23"/>
  <c r="C87" i="23"/>
  <c r="B92" i="23"/>
  <c r="B65" i="23"/>
  <c r="B37" i="23"/>
  <c r="B22" i="23"/>
  <c r="C56" i="23"/>
  <c r="C47" i="23"/>
  <c r="D54" i="23"/>
  <c r="C90" i="23"/>
  <c r="B26" i="23"/>
  <c r="B80" i="23"/>
  <c r="C46" i="23"/>
  <c r="C41" i="23"/>
  <c r="C99" i="23"/>
  <c r="B101" i="23"/>
  <c r="C26" i="23"/>
  <c r="B57" i="23"/>
  <c r="D86" i="23"/>
  <c r="B94" i="23"/>
  <c r="B54" i="23"/>
  <c r="B58" i="23"/>
  <c r="B74" i="23"/>
  <c r="D95" i="23"/>
  <c r="C80" i="23"/>
  <c r="B60" i="23"/>
  <c r="B63" i="23"/>
  <c r="B95" i="23"/>
  <c r="D62" i="23"/>
  <c r="B29" i="23"/>
  <c r="C71" i="23"/>
  <c r="D85" i="23"/>
  <c r="C57" i="23"/>
  <c r="B13" i="23"/>
  <c r="B76" i="23"/>
  <c r="B56" i="23"/>
  <c r="C59" i="23"/>
  <c r="B87" i="23"/>
  <c r="B10" i="23"/>
  <c r="C68" i="23"/>
  <c r="C33" i="23"/>
  <c r="B42" i="23"/>
  <c r="B86" i="23"/>
  <c r="D56" i="23"/>
  <c r="C67" i="23"/>
  <c r="D83" i="23"/>
  <c r="C97" i="23"/>
  <c r="D69" i="23"/>
  <c r="C20" i="23"/>
  <c r="D90" i="23"/>
  <c r="D18" i="23"/>
  <c r="B68" i="23"/>
  <c r="C28" i="23"/>
  <c r="B23" i="23"/>
  <c r="D48" i="23"/>
  <c r="D76" i="23"/>
  <c r="C50" i="23"/>
  <c r="C79" i="23"/>
  <c r="D45" i="23"/>
  <c r="B93" i="23"/>
  <c r="D34" i="23"/>
  <c r="B66" i="23"/>
  <c r="C40" i="23"/>
  <c r="B55" i="23"/>
  <c r="B14" i="23"/>
  <c r="D26" i="23"/>
  <c r="B71" i="23"/>
  <c r="B73" i="23"/>
  <c r="C81" i="23"/>
  <c r="C78" i="23"/>
  <c r="C54" i="23"/>
  <c r="B39" i="23"/>
  <c r="C21" i="23"/>
  <c r="C53" i="23"/>
  <c r="C14" i="23"/>
  <c r="B83" i="23"/>
  <c r="C88" i="23"/>
  <c r="D52" i="23"/>
  <c r="D97" i="23"/>
  <c r="D22" i="23"/>
  <c r="C25" i="23"/>
  <c r="B45" i="23"/>
  <c r="D89" i="23"/>
  <c r="C61" i="23"/>
  <c r="C11" i="23"/>
  <c r="B12" i="23"/>
  <c r="C74" i="23"/>
  <c r="C17" i="23"/>
  <c r="D99" i="23"/>
  <c r="D79" i="23"/>
  <c r="B31" i="23"/>
  <c r="C16" i="23"/>
  <c r="B47" i="23"/>
  <c r="D40" i="23"/>
  <c r="D96" i="23"/>
  <c r="B77" i="23"/>
  <c r="C23" i="23"/>
  <c r="B89" i="23"/>
  <c r="D61" i="23"/>
  <c r="B35" i="23"/>
  <c r="D80" i="23"/>
  <c r="D87" i="23"/>
  <c r="B81" i="23"/>
  <c r="D50" i="23"/>
  <c r="C15" i="23"/>
  <c r="C45" i="23"/>
  <c r="C95" i="23"/>
  <c r="D94" i="23"/>
  <c r="B99" i="23"/>
  <c r="D14" i="23"/>
  <c r="C37" i="23"/>
  <c r="C77" i="23"/>
  <c r="B17" i="23"/>
  <c r="C73" i="23"/>
  <c r="D11" i="23"/>
  <c r="C84" i="23"/>
  <c r="B25" i="23"/>
  <c r="B36" i="23"/>
  <c r="B61" i="23"/>
  <c r="C34" i="23"/>
  <c r="C82" i="23"/>
  <c r="B33" i="23"/>
  <c r="C52" i="23"/>
  <c r="D31" i="23"/>
  <c r="C65" i="23"/>
  <c r="D70" i="23"/>
  <c r="D36" i="23"/>
  <c r="B85" i="23"/>
  <c r="D41" i="23"/>
  <c r="C35" i="23"/>
  <c r="C13" i="23"/>
  <c r="B100" i="23"/>
  <c r="C69" i="23"/>
  <c r="B53" i="23"/>
  <c r="C83" i="23"/>
  <c r="D58" i="23"/>
  <c r="D67" i="23"/>
  <c r="B34" i="23"/>
  <c r="B43" i="23"/>
  <c r="C38" i="23"/>
  <c r="B49" i="23"/>
  <c r="B15" i="23"/>
  <c r="D84" i="23"/>
  <c r="C85" i="23"/>
  <c r="D28" i="23"/>
  <c r="D39" i="23"/>
  <c r="B51" i="23"/>
  <c r="D35" i="23"/>
  <c r="D98" i="23"/>
  <c r="B82" i="23"/>
  <c r="D24" i="23"/>
  <c r="B48" i="23"/>
  <c r="C32" i="23"/>
  <c r="B88" i="23"/>
  <c r="C75" i="23"/>
  <c r="D82" i="23"/>
  <c r="D91" i="23"/>
  <c r="D88" i="23"/>
  <c r="B97" i="23"/>
  <c r="D57" i="23"/>
  <c r="C96" i="23"/>
  <c r="D13" i="23"/>
  <c r="D93" i="23"/>
  <c r="D32" i="23"/>
  <c r="C55" i="23"/>
  <c r="C12" i="23"/>
  <c r="C10" i="23"/>
  <c r="D66" i="23"/>
  <c r="B91" i="23"/>
  <c r="C76" i="23"/>
  <c r="B30" i="23"/>
  <c r="C18" i="23"/>
  <c r="B24" i="23"/>
  <c r="B69" i="23"/>
  <c r="C98" i="23"/>
  <c r="D17" i="23"/>
  <c r="C60" i="23"/>
  <c r="D63" i="23"/>
  <c r="B64" i="23"/>
  <c r="D46" i="23"/>
  <c r="C43" i="23"/>
  <c r="D71" i="23"/>
  <c r="D101" i="23"/>
  <c r="C86" i="23"/>
  <c r="B84" i="23"/>
  <c r="C62" i="23"/>
  <c r="D42" i="23"/>
  <c r="D60" i="23"/>
  <c r="C19" i="23"/>
  <c r="B62" i="23"/>
  <c r="B75" i="23"/>
  <c r="D19" i="23"/>
  <c r="D27" i="23"/>
  <c r="C24" i="23"/>
  <c r="B27" i="23"/>
  <c r="C22" i="23"/>
  <c r="B96" i="23"/>
  <c r="B44" i="23"/>
  <c r="C93" i="23"/>
  <c r="D55" i="23"/>
  <c r="B67" i="23"/>
  <c r="B72" i="23"/>
  <c r="C91" i="23"/>
  <c r="B70" i="23"/>
  <c r="D49" i="23"/>
  <c r="B28" i="23"/>
  <c r="V10" i="5" l="1"/>
  <c r="S49" i="4" s="1"/>
  <c r="D48" i="18"/>
  <c r="D35" i="18"/>
  <c r="D20" i="18"/>
  <c r="D10" i="18"/>
  <c r="AB10" i="5" s="1"/>
  <c r="R10" i="5" s="1"/>
  <c r="AV10" i="5" s="1"/>
  <c r="AB48" i="5" l="1"/>
  <c r="R48" i="5" s="1"/>
  <c r="AV48" i="5" s="1"/>
  <c r="AB35" i="5"/>
  <c r="R35" i="5" s="1"/>
  <c r="AV35" i="5" s="1"/>
  <c r="AB20" i="5"/>
  <c r="R20" i="5" s="1"/>
  <c r="AV20" i="5" s="1"/>
  <c r="R54" i="4"/>
  <c r="T49" i="4"/>
  <c r="AY9" i="5" l="1"/>
  <c r="AW9" i="5" s="1"/>
  <c r="AE9" i="5"/>
  <c r="V9" i="5" s="1"/>
  <c r="T46" i="4" l="1"/>
  <c r="K9" i="18"/>
  <c r="G9" i="18" s="1"/>
  <c r="I8" i="18" s="1"/>
  <c r="S46" i="4"/>
  <c r="Z13" i="4" l="1"/>
  <c r="G43" i="4"/>
  <c r="D112" i="18"/>
  <c r="D62" i="18"/>
  <c r="D9" i="18"/>
  <c r="AB9" i="5" s="1"/>
  <c r="AB62" i="5" l="1"/>
  <c r="R62" i="5" s="1"/>
  <c r="AV62" i="5" s="1"/>
  <c r="AB112" i="5"/>
  <c r="R112" i="5" s="1"/>
  <c r="AV112" i="5" s="1"/>
  <c r="R9" i="5"/>
  <c r="AV9" i="5" s="1"/>
  <c r="AY8" i="5" l="1"/>
  <c r="AW8" i="5" s="1"/>
  <c r="AE8" i="5"/>
  <c r="S7" i="4" s="1"/>
  <c r="S9" i="4" s="1"/>
  <c r="V8" i="5" l="1"/>
  <c r="N41" i="4" s="1"/>
  <c r="T25" i="4"/>
  <c r="S11" i="4"/>
  <c r="S12" i="4" s="1"/>
  <c r="T27" i="4" l="1"/>
  <c r="U27" i="4"/>
  <c r="J9" i="21"/>
  <c r="C25" i="4"/>
  <c r="S13" i="4"/>
  <c r="S14" i="4" l="1"/>
  <c r="K9" i="21"/>
  <c r="L9"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日建設計 </author>
    <author>Junko ENDO</author>
  </authors>
  <commentList>
    <comment ref="C15" authorId="0" shapeId="0" xr:uid="{00000000-0006-0000-0000-000001000000}">
      <text>
        <r>
          <rPr>
            <sz val="9"/>
            <color indexed="81"/>
            <rFont val="ＭＳ Ｐゴシック"/>
            <family val="3"/>
            <charset val="128"/>
          </rPr>
          <t>2003/6等と入力して下さい。
2003年6月と表示されます。</t>
        </r>
      </text>
    </comment>
    <comment ref="C39" authorId="0" shapeId="0" xr:uid="{00000000-0006-0000-0000-000002000000}">
      <text>
        <r>
          <rPr>
            <sz val="9"/>
            <color indexed="81"/>
            <rFont val="ＭＳ Ｐゴシック"/>
            <family val="3"/>
            <charset val="128"/>
          </rPr>
          <t>2003/6等と入力して下さい。
2003年6月と表示されます。</t>
        </r>
      </text>
    </comment>
    <comment ref="B41" authorId="1" shapeId="0" xr:uid="{00000000-0006-0000-0000-000003000000}">
      <text>
        <r>
          <rPr>
            <sz val="9"/>
            <color indexed="81"/>
            <rFont val="ＭＳ Ｐゴシック"/>
            <family val="3"/>
            <charset val="128"/>
          </rPr>
          <t>第３者による評価結果の確認などを行っている場合は記述する。</t>
        </r>
      </text>
    </comment>
    <comment ref="C41" authorId="0" shapeId="0" xr:uid="{00000000-0006-0000-0000-000004000000}">
      <text>
        <r>
          <rPr>
            <sz val="9"/>
            <color indexed="81"/>
            <rFont val="ＭＳ Ｐゴシック"/>
            <family val="3"/>
            <charset val="128"/>
          </rPr>
          <t>2003/6等と入力して下さい。
2003年6月と表示されます。</t>
        </r>
      </text>
    </comment>
    <comment ref="F68" authorId="0" shapeId="0" xr:uid="{00000000-0006-0000-0000-000005000000}">
      <text>
        <r>
          <rPr>
            <sz val="9"/>
            <color indexed="81"/>
            <rFont val="ＭＳ Ｐゴシック"/>
            <family val="3"/>
            <charset val="128"/>
          </rPr>
          <t>小数値(「0.9」など)で
比率を入力して下さい。</t>
        </r>
      </text>
    </comment>
    <comment ref="F69" authorId="0" shapeId="0" xr:uid="{00000000-0006-0000-0000-00000600000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P131" authorId="0" shapeId="0" xr:uid="{00000000-0006-0000-0300-000001000000}">
      <text>
        <r>
          <rPr>
            <b/>
            <sz val="9"/>
            <color indexed="81"/>
            <rFont val="ＭＳ Ｐゴシック"/>
            <family val="3"/>
            <charset val="128"/>
          </rPr>
          <t>専有部と共用部(3aによる評価)の床面積による加重平均</t>
        </r>
      </text>
    </comment>
    <comment ref="Q131" authorId="0" shapeId="0" xr:uid="{00000000-0006-0000-0300-000002000000}">
      <text>
        <r>
          <rPr>
            <b/>
            <sz val="9"/>
            <color indexed="81"/>
            <rFont val="ＭＳ Ｐゴシック"/>
            <family val="3"/>
            <charset val="128"/>
          </rPr>
          <t>専有部と共用部(3aによる評価)の床面積による加重平均</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3" authorId="0" shapeId="0" xr:uid="{00000000-0006-0000-0400-00000100000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日建設計</author>
  </authors>
  <commentList>
    <comment ref="H129" authorId="0" shapeId="0" xr:uid="{00000000-0006-0000-0700-000001000000}">
      <text>
        <r>
          <rPr>
            <b/>
            <sz val="10"/>
            <color indexed="81"/>
            <rFont val="ＭＳ Ｐゴシック"/>
            <family val="3"/>
            <charset val="128"/>
          </rPr>
          <t>500㎡未満の建物は直接入力により、レベル３を選択してください。</t>
        </r>
      </text>
    </comment>
    <comment ref="H182" authorId="0" shapeId="0" xr:uid="{00000000-0006-0000-0700-000002000000}">
      <text>
        <r>
          <rPr>
            <b/>
            <sz val="10"/>
            <color indexed="81"/>
            <rFont val="ＭＳ Ｐゴシック"/>
            <family val="3"/>
            <charset val="128"/>
          </rPr>
          <t>レベル３は、直接入力より選択。
500㎡未満の建物は直接入力により、レベル３を選択してください。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F16" authorId="0" shapeId="0" xr:uid="{00000000-0006-0000-0900-000001000000}">
      <text>
        <r>
          <rPr>
            <b/>
            <sz val="9"/>
            <color indexed="81"/>
            <rFont val="ＭＳ Ｐゴシック"/>
            <family val="3"/>
            <charset val="128"/>
          </rPr>
          <t>住宅部分と非住宅部分の床面積による加重平均（小数第2位で切捨）</t>
        </r>
      </text>
    </comment>
    <comment ref="F47" authorId="0" shapeId="0" xr:uid="{00000000-0006-0000-0900-000002000000}">
      <text>
        <r>
          <rPr>
            <b/>
            <sz val="9"/>
            <color indexed="81"/>
            <rFont val="ＭＳ Ｐゴシック"/>
            <family val="3"/>
            <charset val="128"/>
          </rPr>
          <t>住宅部分と非住宅部分の床面積による加重平均（小数第2位で切捨）</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junko_000</author>
    <author>島田</author>
  </authors>
  <commentList>
    <comment ref="H23" authorId="0" shapeId="0" xr:uid="{00000000-0006-0000-0A00-000001000000}">
      <text>
        <r>
          <rPr>
            <b/>
            <sz val="9"/>
            <color indexed="81"/>
            <rFont val="ＭＳ Ｐゴシック"/>
            <family val="3"/>
            <charset val="128"/>
          </rPr>
          <t>下記（１）（２）（３）で評価する場合は空欄</t>
        </r>
      </text>
    </comment>
    <comment ref="G46" authorId="0" shapeId="0" xr:uid="{00000000-0006-0000-0A00-000002000000}">
      <text>
        <r>
          <rPr>
            <b/>
            <sz val="9"/>
            <color indexed="81"/>
            <rFont val="ＭＳ Ｐゴシック"/>
            <family val="3"/>
            <charset val="128"/>
          </rPr>
          <t>住宅面積のうち、算定プログラムで評価した住戸の面積と共用部の面積の合計</t>
        </r>
      </text>
    </comment>
    <comment ref="K82" authorId="0" shapeId="0" xr:uid="{00000000-0006-0000-0A00-000003000000}">
      <text>
        <r>
          <rPr>
            <b/>
            <sz val="9"/>
            <color indexed="81"/>
            <rFont val="ＭＳ Ｐゴシック"/>
            <family val="3"/>
            <charset val="128"/>
          </rPr>
          <t>算定プログラムを使わない場合は空欄</t>
        </r>
      </text>
    </comment>
    <comment ref="K83" authorId="0" shapeId="0" xr:uid="{00000000-0006-0000-0A00-000004000000}">
      <text>
        <r>
          <rPr>
            <b/>
            <sz val="9"/>
            <color indexed="81"/>
            <rFont val="ＭＳ Ｐゴシック"/>
            <family val="3"/>
            <charset val="128"/>
          </rPr>
          <t>算定プログラムを使わない場合は空欄</t>
        </r>
      </text>
    </comment>
    <comment ref="J84" authorId="1" shapeId="0" xr:uid="{00000000-0006-0000-0A00-000005000000}">
      <text>
        <r>
          <rPr>
            <b/>
            <sz val="9"/>
            <color indexed="81"/>
            <rFont val="ＭＳ Ｐゴシック"/>
            <family val="3"/>
            <charset val="128"/>
          </rPr>
          <t>入力を忘れないこと</t>
        </r>
      </text>
    </comment>
    <comment ref="K84" authorId="1" shapeId="0" xr:uid="{00000000-0006-0000-0A00-000006000000}">
      <text>
        <r>
          <rPr>
            <b/>
            <sz val="9"/>
            <color indexed="81"/>
            <rFont val="ＭＳ Ｐゴシック"/>
            <family val="3"/>
            <charset val="128"/>
          </rPr>
          <t>入力を忘れないこと</t>
        </r>
      </text>
    </comment>
    <comment ref="L84" authorId="1" shapeId="0" xr:uid="{00000000-0006-0000-0A00-000007000000}">
      <text>
        <r>
          <rPr>
            <b/>
            <sz val="9"/>
            <color indexed="81"/>
            <rFont val="ＭＳ Ｐゴシック"/>
            <family val="3"/>
            <charset val="128"/>
          </rPr>
          <t>入力を忘れないこと</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48" authorId="0" shapeId="0" xr:uid="{00000000-0006-0000-1100-000001000000}">
      <text>
        <r>
          <rPr>
            <sz val="9"/>
            <color indexed="81"/>
            <rFont val="ＭＳ Ｐゴシック"/>
            <family val="3"/>
            <charset val="128"/>
          </rPr>
          <t>下表＜参考＞　[1]の数値を利用できる。</t>
        </r>
      </text>
    </comment>
    <comment ref="D56" authorId="0" shapeId="0" xr:uid="{00000000-0006-0000-1100-00000200000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<sst xmlns="http://schemas.openxmlformats.org/spreadsheetml/2006/main" count="8416" uniqueCount="4164">
  <si>
    <t>内装計画</t>
    <rPh sb="0" eb="2">
      <t>ナイソウ</t>
    </rPh>
    <rPh sb="2" eb="4">
      <t>ケイカク</t>
    </rPh>
    <phoneticPr fontId="21"/>
  </si>
  <si>
    <t>維持管理</t>
    <rPh sb="0" eb="2">
      <t>イジ</t>
    </rPh>
    <rPh sb="2" eb="4">
      <t>カンリ</t>
    </rPh>
    <phoneticPr fontId="21"/>
  </si>
  <si>
    <t>維持管理に配慮した設計</t>
  </si>
  <si>
    <t>維持管理用機能の確保</t>
  </si>
  <si>
    <t>衛生管理業務</t>
    <rPh sb="0" eb="2">
      <t>エイセイ</t>
    </rPh>
    <rPh sb="2" eb="4">
      <t>カンリ</t>
    </rPh>
    <rPh sb="4" eb="6">
      <t>ギョウム</t>
    </rPh>
    <phoneticPr fontId="21"/>
  </si>
  <si>
    <t>耐用性・信頼性</t>
    <rPh sb="0" eb="3">
      <t>ﾀｲﾖｳｾｲ</t>
    </rPh>
    <rPh sb="4" eb="6">
      <t>ｼﾝﾗｲ</t>
    </rPh>
    <rPh sb="6" eb="7">
      <t>ｾｲ</t>
    </rPh>
    <phoneticPr fontId="34" type="noConversion"/>
  </si>
  <si>
    <t>リサイクル資材を用いていない。</t>
    <rPh sb="8" eb="9">
      <t>モチ</t>
    </rPh>
    <phoneticPr fontId="21"/>
  </si>
  <si>
    <t>リサイクル資材を１品目用いている。</t>
    <rPh sb="9" eb="11">
      <t>ヒンモク</t>
    </rPh>
    <rPh sb="11" eb="12">
      <t>モチ</t>
    </rPh>
    <phoneticPr fontId="21"/>
  </si>
  <si>
    <t>リサイクル資材を２品目用いている。</t>
    <rPh sb="9" eb="11">
      <t>ヒンモク</t>
    </rPh>
    <rPh sb="11" eb="12">
      <t>モチ</t>
    </rPh>
    <phoneticPr fontId="21"/>
  </si>
  <si>
    <t>リサイクル資材を３品目以上用いている。</t>
    <rPh sb="9" eb="11">
      <t>ヒンモク</t>
    </rPh>
    <rPh sb="11" eb="13">
      <t>イジョウ</t>
    </rPh>
    <rPh sb="13" eb="14">
      <t>モチ</t>
    </rPh>
    <phoneticPr fontId="21"/>
  </si>
  <si>
    <t>グリーン調達品目</t>
    <rPh sb="4" eb="6">
      <t>チョウタツ</t>
    </rPh>
    <rPh sb="6" eb="8">
      <t>ヒンモク</t>
    </rPh>
    <phoneticPr fontId="21"/>
  </si>
  <si>
    <t>建設汚泥再生処理土</t>
    <rPh sb="0" eb="2">
      <t>ケンセツ</t>
    </rPh>
    <rPh sb="2" eb="4">
      <t>オデイ</t>
    </rPh>
    <rPh sb="4" eb="6">
      <t>サイセイ</t>
    </rPh>
    <rPh sb="6" eb="8">
      <t>ショリ</t>
    </rPh>
    <rPh sb="8" eb="9">
      <t>ツチ</t>
    </rPh>
    <phoneticPr fontId="21"/>
  </si>
  <si>
    <t>土工用高炉水砕フラグ</t>
    <rPh sb="0" eb="2">
      <t>ドコウ</t>
    </rPh>
    <rPh sb="2" eb="3">
      <t>ヨウ</t>
    </rPh>
    <rPh sb="3" eb="5">
      <t>コウロ</t>
    </rPh>
    <rPh sb="5" eb="6">
      <t>ミズ</t>
    </rPh>
    <rPh sb="6" eb="7">
      <t>クダ</t>
    </rPh>
    <phoneticPr fontId="21"/>
  </si>
  <si>
    <t>銅スラグを用いたケーソン中詰め材</t>
    <rPh sb="0" eb="1">
      <t>ドウ</t>
    </rPh>
    <rPh sb="5" eb="6">
      <t>モチ</t>
    </rPh>
    <rPh sb="12" eb="13">
      <t>ナカ</t>
    </rPh>
    <rPh sb="13" eb="14">
      <t>ヅ</t>
    </rPh>
    <rPh sb="15" eb="16">
      <t>ザイ</t>
    </rPh>
    <phoneticPr fontId="21"/>
  </si>
  <si>
    <t>自動制御ブラインド等によりグレアを制御。</t>
    <rPh sb="9" eb="10">
      <t>トウ</t>
    </rPh>
    <phoneticPr fontId="21"/>
  </si>
  <si>
    <t>自然換気有効開口面積が居室床面積の1/20以上</t>
  </si>
  <si>
    <t>自然換気有効開口面積が居室床面積の1/15以上</t>
  </si>
  <si>
    <t>自然換気有効開口面積が居室床面積の1/10以上</t>
  </si>
  <si>
    <t>学（小中高）</t>
    <phoneticPr fontId="21"/>
  </si>
  <si>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</si>
  <si>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</si>
  <si>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</si>
  <si>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1"/>
  </si>
  <si>
    <t>③　内装設計：床面は適度な水を使用して洗浄可能な設計・構造を採用している。</t>
    <phoneticPr fontId="21"/>
  </si>
  <si>
    <t>事・学(大学等)・物・飲・会・病・ホ・工・住</t>
    <rPh sb="4" eb="6">
      <t>ダイガク</t>
    </rPh>
    <rPh sb="6" eb="7">
      <t>トウ</t>
    </rPh>
    <phoneticPr fontId="21"/>
  </si>
  <si>
    <t>（該当するレベルなし）</t>
    <phoneticPr fontId="21"/>
  </si>
  <si>
    <t>建築基準法に定められた耐震性を有する。</t>
    <phoneticPr fontId="21"/>
  </si>
  <si>
    <t>建築基準法に定められた25％増の耐震性を有する。</t>
    <phoneticPr fontId="21"/>
  </si>
  <si>
    <t>⑦災害などの停電時に飲料用等に使えるよう受水槽に水道の蛇口を設置している。</t>
    <phoneticPr fontId="21"/>
  </si>
  <si>
    <t>評価する取組みが3つ。</t>
    <phoneticPr fontId="21"/>
  </si>
  <si>
    <t>評価する取組みが4つ以上。</t>
    <phoneticPr fontId="21"/>
  </si>
  <si>
    <t>評価する取組みが3つ以上。</t>
    <phoneticPr fontId="21"/>
  </si>
  <si>
    <t>取組数</t>
    <rPh sb="0" eb="2">
      <t>トリクミ</t>
    </rPh>
    <rPh sb="2" eb="3">
      <t>スウ</t>
    </rPh>
    <phoneticPr fontId="21"/>
  </si>
  <si>
    <t>①非常用発電設備を備えている。</t>
    <phoneticPr fontId="21"/>
  </si>
  <si>
    <t>事・学・物・飲・会・病・ホ・工・住</t>
    <phoneticPr fontId="21"/>
  </si>
  <si>
    <t>事・学・物・飲・会・病・ホ・工・住【&lt;2000㎡】</t>
    <phoneticPr fontId="21"/>
  </si>
  <si>
    <t>評価する取組みが1つまたは2つ。</t>
    <phoneticPr fontId="21"/>
  </si>
  <si>
    <t>③重要設備系の受電設備の二重化を行っている。</t>
    <phoneticPr fontId="21"/>
  </si>
  <si>
    <t>⑤電源車接続時に利用可能な用の照明等の配線が設置されている。</t>
    <phoneticPr fontId="21"/>
  </si>
  <si>
    <t>⑥異なる変電所からの引き込みを二重化している。</t>
    <phoneticPr fontId="21"/>
  </si>
  <si>
    <t>事・学・物・飲・会・病・ホ・工・住</t>
    <rPh sb="0" eb="1">
      <t>ジ</t>
    </rPh>
    <rPh sb="2" eb="3">
      <t>ガク</t>
    </rPh>
    <rPh sb="4" eb="5">
      <t>モノ</t>
    </rPh>
    <rPh sb="6" eb="7">
      <t>オン</t>
    </rPh>
    <rPh sb="8" eb="9">
      <t>カイ</t>
    </rPh>
    <rPh sb="10" eb="11">
      <t>ヤマイ</t>
    </rPh>
    <rPh sb="14" eb="15">
      <t>コウ</t>
    </rPh>
    <rPh sb="16" eb="17">
      <t>スミ</t>
    </rPh>
    <phoneticPr fontId="21"/>
  </si>
  <si>
    <t>事・学・物・飲・会・病・ホ・工・住【&lt;2000㎡】</t>
    <rPh sb="0" eb="1">
      <t>ジ</t>
    </rPh>
    <rPh sb="2" eb="3">
      <t>ガク</t>
    </rPh>
    <rPh sb="4" eb="5">
      <t>モノ</t>
    </rPh>
    <rPh sb="6" eb="7">
      <t>オン</t>
    </rPh>
    <rPh sb="8" eb="9">
      <t>カイ</t>
    </rPh>
    <rPh sb="10" eb="11">
      <t>ヤマイ</t>
    </rPh>
    <rPh sb="14" eb="15">
      <t>コウ</t>
    </rPh>
    <rPh sb="16" eb="17">
      <t>スミ</t>
    </rPh>
    <phoneticPr fontId="21"/>
  </si>
  <si>
    <t>評価する取組みがない。</t>
    <phoneticPr fontId="21"/>
  </si>
  <si>
    <t>評価する取組みが1つ。</t>
    <phoneticPr fontId="21"/>
  </si>
  <si>
    <t>評価する取組みが2つ以上。</t>
    <phoneticPr fontId="21"/>
  </si>
  <si>
    <t>評価する取組みが4つ以上。</t>
    <rPh sb="10" eb="12">
      <t>イジョウ</t>
    </rPh>
    <phoneticPr fontId="21"/>
  </si>
  <si>
    <t>⑤災害時にケーブルTV などにより災害情報が入手できる。</t>
    <phoneticPr fontId="21"/>
  </si>
  <si>
    <t>⑥ネットワーク機器用に無停電装置が設備されている。</t>
    <phoneticPr fontId="21"/>
  </si>
  <si>
    <t>既存の建築躯体を再利用していない。</t>
    <phoneticPr fontId="21"/>
  </si>
  <si>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1"/>
  </si>
  <si>
    <t>躯体材料以外におけるリサイクル材の使用</t>
    <rPh sb="0" eb="2">
      <t>クタイ</t>
    </rPh>
    <rPh sb="2" eb="4">
      <t>ザイリョウ</t>
    </rPh>
    <rPh sb="4" eb="6">
      <t>イガイ</t>
    </rPh>
    <rPh sb="15" eb="16">
      <t>ザイ</t>
    </rPh>
    <rPh sb="17" eb="19">
      <t>シヨウ</t>
    </rPh>
    <phoneticPr fontId="21"/>
  </si>
  <si>
    <t>再利用できるユニット部材を用いている。</t>
    <phoneticPr fontId="21"/>
  </si>
  <si>
    <t>１地域</t>
    <rPh sb="1" eb="3">
      <t>チイキ</t>
    </rPh>
    <phoneticPr fontId="21"/>
  </si>
  <si>
    <t>２地域</t>
    <rPh sb="1" eb="3">
      <t>チイキ</t>
    </rPh>
    <phoneticPr fontId="21"/>
  </si>
  <si>
    <t>３地域</t>
    <rPh sb="1" eb="3">
      <t>チイキ</t>
    </rPh>
    <phoneticPr fontId="21"/>
  </si>
  <si>
    <t>４地域</t>
    <rPh sb="1" eb="3">
      <t>チイキ</t>
    </rPh>
    <phoneticPr fontId="21"/>
  </si>
  <si>
    <t>５地域</t>
    <rPh sb="1" eb="3">
      <t>チイキ</t>
    </rPh>
    <phoneticPr fontId="21"/>
  </si>
  <si>
    <t>６地域</t>
    <rPh sb="1" eb="3">
      <t>チイキ</t>
    </rPh>
    <phoneticPr fontId="21"/>
  </si>
  <si>
    <t>７地域</t>
    <rPh sb="1" eb="3">
      <t>チイキ</t>
    </rPh>
    <phoneticPr fontId="21"/>
  </si>
  <si>
    <t>８地域</t>
    <rPh sb="1" eb="3">
      <t>チイキ</t>
    </rPh>
    <phoneticPr fontId="21"/>
  </si>
  <si>
    <t>９地域</t>
    <rPh sb="1" eb="3">
      <t>チイキ</t>
    </rPh>
    <phoneticPr fontId="21"/>
  </si>
  <si>
    <t>自然エネルギー直接利用量</t>
    <rPh sb="0" eb="2">
      <t>シゼン</t>
    </rPh>
    <rPh sb="7" eb="9">
      <t>チョクセツ</t>
    </rPh>
    <rPh sb="9" eb="11">
      <t>リヨウ</t>
    </rPh>
    <rPh sb="11" eb="12">
      <t>リョウ</t>
    </rPh>
    <phoneticPr fontId="21"/>
  </si>
  <si>
    <t>MＪ／年㎡　（変換利用量は含まない）</t>
    <rPh sb="7" eb="9">
      <t>ヘンカン</t>
    </rPh>
    <rPh sb="9" eb="11">
      <t>リヨウ</t>
    </rPh>
    <rPh sb="11" eb="12">
      <t>リョウ</t>
    </rPh>
    <rPh sb="13" eb="14">
      <t>フク</t>
    </rPh>
    <phoneticPr fontId="21"/>
  </si>
  <si>
    <t>屋上（屋根）・外壁仕上げ材の更新</t>
    <rPh sb="0" eb="2">
      <t>オクジョウ</t>
    </rPh>
    <rPh sb="3" eb="5">
      <t>ヤネ</t>
    </rPh>
    <rPh sb="7" eb="9">
      <t>ガイヘキ</t>
    </rPh>
    <rPh sb="9" eb="11">
      <t>シア</t>
    </rPh>
    <rPh sb="12" eb="13">
      <t>ザイ</t>
    </rPh>
    <rPh sb="14" eb="16">
      <t>コウシン</t>
    </rPh>
    <phoneticPr fontId="21"/>
  </si>
  <si>
    <t>配管・配線材の更新</t>
    <rPh sb="0" eb="2">
      <t>ハイカン</t>
    </rPh>
    <rPh sb="3" eb="5">
      <t>ハイセン</t>
    </rPh>
    <rPh sb="5" eb="6">
      <t>ザイ</t>
    </rPh>
    <rPh sb="7" eb="9">
      <t>コウシン</t>
    </rPh>
    <phoneticPr fontId="21"/>
  </si>
  <si>
    <t>主用設備機器の更新</t>
    <rPh sb="0" eb="2">
      <t>シュヨウ</t>
    </rPh>
    <rPh sb="2" eb="4">
      <t>セツビ</t>
    </rPh>
    <rPh sb="4" eb="6">
      <t>キキ</t>
    </rPh>
    <rPh sb="7" eb="9">
      <t>コウシン</t>
    </rPh>
    <phoneticPr fontId="21"/>
  </si>
  <si>
    <t>信頼性</t>
    <rPh sb="0" eb="3">
      <t>シンライセイ</t>
    </rPh>
    <phoneticPr fontId="21"/>
  </si>
  <si>
    <t>空調・換気設備</t>
    <rPh sb="0" eb="2">
      <t>クウチョウ</t>
    </rPh>
    <rPh sb="3" eb="5">
      <t>カンキ</t>
    </rPh>
    <rPh sb="5" eb="7">
      <t>セツビ</t>
    </rPh>
    <phoneticPr fontId="21"/>
  </si>
  <si>
    <t>給排水・衛生設備</t>
    <rPh sb="0" eb="3">
      <t>キュウハイスイ</t>
    </rPh>
    <rPh sb="4" eb="6">
      <t>エイセイ</t>
    </rPh>
    <rPh sb="6" eb="8">
      <t>セツビ</t>
    </rPh>
    <phoneticPr fontId="21"/>
  </si>
  <si>
    <t>電気設備</t>
    <rPh sb="0" eb="2">
      <t>デンキ</t>
    </rPh>
    <rPh sb="2" eb="4">
      <t>セツビ</t>
    </rPh>
    <phoneticPr fontId="21"/>
  </si>
  <si>
    <t>地域性・文化</t>
    <rPh sb="0" eb="3">
      <t>チイキセイ</t>
    </rPh>
    <rPh sb="4" eb="6">
      <t>ブンカ</t>
    </rPh>
    <phoneticPr fontId="21"/>
  </si>
  <si>
    <t>空気質環境</t>
    <rPh sb="3" eb="5">
      <t>カンキョウ</t>
    </rPh>
    <phoneticPr fontId="21"/>
  </si>
  <si>
    <t>LR-2 資源ﾏﾃﾘｱﾙ</t>
    <rPh sb="5" eb="7">
      <t>シゲン</t>
    </rPh>
    <phoneticPr fontId="21"/>
  </si>
  <si>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1"/>
  </si>
  <si>
    <t>事・学・物・飲・会・病・ホ・工・住</t>
    <phoneticPr fontId="21"/>
  </si>
  <si>
    <t>建物外壁（ガラスを含む）の反射光（グレア）の発生を低減させる取組みを行っている。</t>
  </si>
  <si>
    <t>フライアッシュセメント</t>
    <phoneticPr fontId="21"/>
  </si>
  <si>
    <t>エコセメント</t>
    <phoneticPr fontId="21"/>
  </si>
  <si>
    <t>高炉セメント</t>
    <rPh sb="0" eb="2">
      <t>コウロ</t>
    </rPh>
    <phoneticPr fontId="21"/>
  </si>
  <si>
    <t>・グリーン購入法特定調達物品情報提供システム　（http://www.env.go.jp/policy/hozen/green/g-law/gpl-db/index.html）</t>
    <phoneticPr fontId="21"/>
  </si>
  <si>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1"/>
  </si>
  <si>
    <t>陶磁器質タイル</t>
    <rPh sb="0" eb="3">
      <t>トウジキ</t>
    </rPh>
    <rPh sb="3" eb="4">
      <t>シツ</t>
    </rPh>
    <phoneticPr fontId="21"/>
  </si>
  <si>
    <t>再生加熱アスファルト混合物</t>
    <rPh sb="0" eb="2">
      <t>サイセイ</t>
    </rPh>
    <rPh sb="2" eb="4">
      <t>カネツ</t>
    </rPh>
    <rPh sb="10" eb="12">
      <t>コンゴウ</t>
    </rPh>
    <rPh sb="12" eb="13">
      <t>ブツ</t>
    </rPh>
    <phoneticPr fontId="21"/>
  </si>
  <si>
    <t>合板</t>
  </si>
  <si>
    <t>鉄鋼スラグ混入アスファルト混合物</t>
    <rPh sb="0" eb="2">
      <t>テッコウ</t>
    </rPh>
    <rPh sb="5" eb="7">
      <t>コンニュウ</t>
    </rPh>
    <rPh sb="13" eb="15">
      <t>コンゴウ</t>
    </rPh>
    <rPh sb="15" eb="16">
      <t>ブツ</t>
    </rPh>
    <phoneticPr fontId="21"/>
  </si>
  <si>
    <t>単板積層材</t>
  </si>
  <si>
    <t>フローリング</t>
  </si>
  <si>
    <t>パーティクルボード</t>
    <phoneticPr fontId="21"/>
  </si>
  <si>
    <t>鉄鋼ズラグブロック</t>
    <phoneticPr fontId="21"/>
  </si>
  <si>
    <t>フライアッシュを用いた吹付けコンクリート</t>
    <rPh sb="8" eb="9">
      <t>モチ</t>
    </rPh>
    <rPh sb="11" eb="13">
      <t>フキツ</t>
    </rPh>
    <phoneticPr fontId="21"/>
  </si>
  <si>
    <t>ビニル系床材</t>
    <phoneticPr fontId="21"/>
  </si>
  <si>
    <t>エコマークを取得したタイル・ブロック（エコマーク商品類型109）</t>
    <phoneticPr fontId="21"/>
  </si>
  <si>
    <t>ボード</t>
    <phoneticPr fontId="21"/>
  </si>
  <si>
    <t>屋内用品（壁材などの内装材））</t>
    <phoneticPr fontId="21"/>
  </si>
  <si>
    <t>壁紙</t>
    <phoneticPr fontId="21"/>
  </si>
  <si>
    <t>フリーアクセスフロア</t>
    <phoneticPr fontId="21"/>
  </si>
  <si>
    <t>・グリーン購入法特定調達物品情報提供システム　（http://www.env.go.jp/policy/hozen/green/g-law/gpl-db/index.html）</t>
    <phoneticPr fontId="21"/>
  </si>
  <si>
    <t/>
  </si>
  <si>
    <t>構造部材を痛めることなく電気配線の更新・修繕ができる。</t>
    <phoneticPr fontId="21"/>
  </si>
  <si>
    <t>構造部材を痛めることなく通信配線の更新・修繕ができる。</t>
    <phoneticPr fontId="21"/>
  </si>
  <si>
    <t xml:space="preserve"> </t>
    <phoneticPr fontId="21"/>
  </si>
  <si>
    <t>⑪　天井隠蔽機器の点検口は600mm×600mm以上としている。</t>
    <phoneticPr fontId="21"/>
  </si>
  <si>
    <t>非住宅部分</t>
    <rPh sb="0" eb="1">
      <t>ヒ</t>
    </rPh>
    <rPh sb="1" eb="3">
      <t>ジュウタク</t>
    </rPh>
    <rPh sb="3" eb="5">
      <t>ブブン</t>
    </rPh>
    <phoneticPr fontId="21"/>
  </si>
  <si>
    <t>効率的な運用低減率</t>
    <rPh sb="0" eb="2">
      <t>コウリツ</t>
    </rPh>
    <rPh sb="2" eb="3">
      <t>テキ</t>
    </rPh>
    <rPh sb="4" eb="6">
      <t>ウンヨウ</t>
    </rPh>
    <rPh sb="6" eb="8">
      <t>テイゲン</t>
    </rPh>
    <rPh sb="8" eb="9">
      <t>リツ</t>
    </rPh>
    <phoneticPr fontId="21"/>
  </si>
  <si>
    <t>削減分</t>
    <rPh sb="0" eb="2">
      <t>サクゲン</t>
    </rPh>
    <rPh sb="2" eb="3">
      <t>ブン</t>
    </rPh>
    <phoneticPr fontId="21"/>
  </si>
  <si>
    <t>合計＝</t>
    <phoneticPr fontId="21"/>
  </si>
  <si>
    <t>→</t>
    <phoneticPr fontId="21"/>
  </si>
  <si>
    <t>評価する取組み表の評価ポイントの合計値が4ポイント</t>
    <phoneticPr fontId="21"/>
  </si>
  <si>
    <t>1～2</t>
    <phoneticPr fontId="21"/>
  </si>
  <si>
    <t>広告物照明について「広告物照明の扱い」の配慮事項の一部を満たしている。（1ポイント）</t>
    <phoneticPr fontId="21"/>
  </si>
  <si>
    <r>
      <t>3.3.2</t>
    </r>
    <r>
      <rPr>
        <b/>
        <sz val="10"/>
        <rFont val="ＭＳ Ｐゴシック"/>
        <family val="3"/>
        <charset val="128"/>
      </rPr>
      <t>　昼光の建物外壁による反射光（グレア）への対策</t>
    </r>
    <phoneticPr fontId="21"/>
  </si>
  <si>
    <t>消火剤</t>
    <rPh sb="0" eb="3">
      <t>ショウカザイ</t>
    </rPh>
    <phoneticPr fontId="21"/>
  </si>
  <si>
    <t>発泡剤（断熱材等）</t>
    <rPh sb="0" eb="2">
      <t>ハッポウ</t>
    </rPh>
    <rPh sb="2" eb="3">
      <t>ザイ</t>
    </rPh>
    <rPh sb="4" eb="7">
      <t>ダンネツザイ</t>
    </rPh>
    <rPh sb="7" eb="8">
      <t>トウ</t>
    </rPh>
    <phoneticPr fontId="21"/>
  </si>
  <si>
    <t>冷媒</t>
    <rPh sb="0" eb="2">
      <t>レイバイ</t>
    </rPh>
    <phoneticPr fontId="21"/>
  </si>
  <si>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</si>
  <si>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</si>
  <si>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</si>
  <si>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</si>
  <si>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</si>
  <si>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</si>
  <si>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</si>
  <si>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</si>
  <si>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</si>
  <si>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</si>
  <si>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</si>
  <si>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</si>
  <si>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1"/>
  </si>
  <si>
    <t xml:space="preserve"> Q3 3</t>
  </si>
  <si>
    <t xml:space="preserve"> </t>
  </si>
  <si>
    <t>建築物の環境負荷低減性</t>
    <rPh sb="0" eb="3">
      <t>ケンチクブツ</t>
    </rPh>
    <rPh sb="4" eb="6">
      <t>カンキョウ</t>
    </rPh>
    <rPh sb="6" eb="8">
      <t>フカ</t>
    </rPh>
    <rPh sb="8" eb="10">
      <t>テイゲン</t>
    </rPh>
    <rPh sb="10" eb="11">
      <t>セイ</t>
    </rPh>
    <phoneticPr fontId="21"/>
  </si>
  <si>
    <t>LR</t>
  </si>
  <si>
    <t>LR1 2</t>
  </si>
  <si>
    <t>ERRによる評価</t>
    <rPh sb="6" eb="8">
      <t>ﾋｮｳｶ</t>
    </rPh>
    <phoneticPr fontId="34" type="noConversion"/>
  </si>
  <si>
    <t>ERR以外による評価</t>
    <rPh sb="3" eb="5">
      <t>イガイ</t>
    </rPh>
    <phoneticPr fontId="21"/>
  </si>
  <si>
    <t>LR1 4</t>
  </si>
  <si>
    <t>LR2 1</t>
  </si>
  <si>
    <t>雨水利用・雑排水再利用</t>
    <rPh sb="0" eb="2">
      <t>ｳｽｲ</t>
    </rPh>
    <rPh sb="2" eb="4">
      <t>ﾘﾖｳ</t>
    </rPh>
    <rPh sb="5" eb="8">
      <t>ｻﾞﾂﾊｲｽｲ</t>
    </rPh>
    <rPh sb="8" eb="9">
      <t>ｻｲ</t>
    </rPh>
    <rPh sb="9" eb="11">
      <t>ﾘﾖｳ</t>
    </rPh>
    <phoneticPr fontId="34"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</si>
  <si>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</si>
  <si>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</si>
  <si>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</si>
  <si>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</si>
  <si>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</si>
  <si>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1"/>
  </si>
  <si>
    <t>ガス</t>
    <phoneticPr fontId="21"/>
  </si>
  <si>
    <r>
      <t>kg-CO</t>
    </r>
    <r>
      <rPr>
        <vertAlign val="superscript"/>
        <sz val="10"/>
        <rFont val="ＭＳ Ｐゴシック"/>
        <family val="3"/>
        <charset val="128"/>
      </rPr>
      <t>2</t>
    </r>
    <r>
      <rPr>
        <sz val="10"/>
        <rFont val="ＭＳ Ｐゴシック"/>
        <family val="3"/>
        <charset val="128"/>
      </rPr>
      <t>/MJ</t>
    </r>
    <phoneticPr fontId="21"/>
  </si>
  <si>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1"/>
  </si>
  <si>
    <t>バウンダリー</t>
    <phoneticPr fontId="21"/>
  </si>
  <si>
    <t>○○　</t>
    <phoneticPr fontId="21"/>
  </si>
  <si>
    <t>〃</t>
    <phoneticPr fontId="21"/>
  </si>
  <si>
    <t>○○</t>
    <phoneticPr fontId="21"/>
  </si>
  <si>
    <t>○○</t>
    <phoneticPr fontId="21"/>
  </si>
  <si>
    <t>○○</t>
    <phoneticPr fontId="21"/>
  </si>
  <si>
    <t>○○</t>
    <phoneticPr fontId="21"/>
  </si>
  <si>
    <t>○○</t>
    <phoneticPr fontId="21"/>
  </si>
  <si>
    <t>修繕・更新・</t>
    <phoneticPr fontId="21"/>
  </si>
  <si>
    <t>③上記+②以外の
　オンサイト手法</t>
    <phoneticPr fontId="21"/>
  </si>
  <si>
    <t>－</t>
    <phoneticPr fontId="21"/>
  </si>
  <si>
    <t>外気冷房効果</t>
  </si>
  <si>
    <t>無音室</t>
    <rPh sb="0" eb="2">
      <t>ムオン</t>
    </rPh>
    <rPh sb="2" eb="3">
      <t>シツ</t>
    </rPh>
    <phoneticPr fontId="21"/>
  </si>
  <si>
    <t>主調整室</t>
    <rPh sb="0" eb="1">
      <t>シュ</t>
    </rPh>
    <rPh sb="1" eb="4">
      <t>チョウセイシツ</t>
    </rPh>
    <phoneticPr fontId="21"/>
  </si>
  <si>
    <t>一般事務室</t>
    <rPh sb="0" eb="2">
      <t>イッパン</t>
    </rPh>
    <rPh sb="2" eb="5">
      <t>ジムシツ</t>
    </rPh>
    <phoneticPr fontId="21"/>
  </si>
  <si>
    <t>集会・ホール</t>
    <rPh sb="0" eb="2">
      <t>シュウカイ</t>
    </rPh>
    <phoneticPr fontId="21"/>
  </si>
  <si>
    <t>音楽堂</t>
    <rPh sb="0" eb="3">
      <t>オンガクドウ</t>
    </rPh>
    <phoneticPr fontId="21"/>
  </si>
  <si>
    <t>劇場（中）</t>
    <rPh sb="0" eb="2">
      <t>ゲキジョウ</t>
    </rPh>
    <rPh sb="3" eb="4">
      <t>チュウ</t>
    </rPh>
    <phoneticPr fontId="21"/>
  </si>
  <si>
    <t>舞台劇場</t>
    <rPh sb="0" eb="2">
      <t>ブタイ</t>
    </rPh>
    <rPh sb="2" eb="4">
      <t>ゲキジョウ</t>
    </rPh>
    <phoneticPr fontId="21"/>
  </si>
  <si>
    <t>映画館・プラネタリウム</t>
    <rPh sb="0" eb="3">
      <t>エイガカン</t>
    </rPh>
    <phoneticPr fontId="21"/>
  </si>
  <si>
    <t>聴力試験室</t>
    <rPh sb="0" eb="2">
      <t>チョウリョク</t>
    </rPh>
    <rPh sb="2" eb="4">
      <t>シケン</t>
    </rPh>
    <rPh sb="4" eb="5">
      <t>シツ</t>
    </rPh>
    <phoneticPr fontId="21"/>
  </si>
  <si>
    <t>特別病室</t>
    <rPh sb="0" eb="2">
      <t>トクベツ</t>
    </rPh>
    <rPh sb="2" eb="4">
      <t>ビョウシツ</t>
    </rPh>
    <phoneticPr fontId="21"/>
  </si>
  <si>
    <t>排出係数の設定</t>
    <rPh sb="0" eb="2">
      <t>ハイシュツ</t>
    </rPh>
    <rPh sb="2" eb="4">
      <t>ケイスウ</t>
    </rPh>
    <rPh sb="5" eb="7">
      <t>セッテイ</t>
    </rPh>
    <phoneticPr fontId="21"/>
  </si>
  <si>
    <t>対策を行っている（評価する取組みにおいて2項目以上を採用）</t>
    <phoneticPr fontId="21"/>
  </si>
  <si>
    <t>取組みなし。</t>
    <phoneticPr fontId="21"/>
  </si>
  <si>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</si>
  <si>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1"/>
  </si>
  <si>
    <t>化学物質排出把握管理促進法の対象物質を含有しない建材種別が4つ以上ある。</t>
    <rPh sb="31" eb="33">
      <t>イジョウ</t>
    </rPh>
    <phoneticPr fontId="21"/>
  </si>
  <si>
    <t>評価対象とする建材種別</t>
    <rPh sb="0" eb="2">
      <t>ヒョウカ</t>
    </rPh>
    <rPh sb="2" eb="4">
      <t>タイショウ</t>
    </rPh>
    <rPh sb="9" eb="11">
      <t>シュベツ</t>
    </rPh>
    <phoneticPr fontId="21"/>
  </si>
  <si>
    <t>指定化学物質の含有</t>
    <rPh sb="0" eb="2">
      <t>シテイ</t>
    </rPh>
    <rPh sb="2" eb="4">
      <t>カガク</t>
    </rPh>
    <rPh sb="4" eb="6">
      <t>ブッシツ</t>
    </rPh>
    <phoneticPr fontId="21"/>
  </si>
  <si>
    <t>分類</t>
    <rPh sb="0" eb="2">
      <t>ブンルイ</t>
    </rPh>
    <phoneticPr fontId="21"/>
  </si>
  <si>
    <t>III 緑の量の確保</t>
    <phoneticPr fontId="21"/>
  </si>
  <si>
    <t>代替値</t>
    <phoneticPr fontId="21"/>
  </si>
  <si>
    <t>根拠等</t>
    <rPh sb="0" eb="2">
      <t>コンキョ</t>
    </rPh>
    <rPh sb="2" eb="3">
      <t>トウ</t>
    </rPh>
    <phoneticPr fontId="21"/>
  </si>
  <si>
    <r>
      <t xml:space="preserve"> [</t>
    </r>
    <r>
      <rPr>
        <sz val="11"/>
        <rFont val="ＭＳ Ｐゴシック"/>
        <family val="3"/>
        <charset val="128"/>
      </rPr>
      <t>2</t>
    </r>
    <r>
      <rPr>
        <sz val="11"/>
        <rFont val="ＭＳ Ｐゴシック"/>
        <family val="3"/>
        <charset val="128"/>
      </rPr>
      <t>]代替値</t>
    </r>
    <rPh sb="4" eb="6">
      <t>ダイタイ</t>
    </rPh>
    <rPh sb="6" eb="7">
      <t>チ</t>
    </rPh>
    <phoneticPr fontId="21"/>
  </si>
  <si>
    <t>降順並び替え</t>
    <rPh sb="0" eb="2">
      <t>コウジュン</t>
    </rPh>
    <rPh sb="2" eb="3">
      <t>ナラ</t>
    </rPh>
    <rPh sb="4" eb="5">
      <t>カ</t>
    </rPh>
    <phoneticPr fontId="21"/>
  </si>
  <si>
    <t>レベル２を満たさない。</t>
    <phoneticPr fontId="21"/>
  </si>
  <si>
    <t>学（小中高）</t>
    <phoneticPr fontId="21"/>
  </si>
  <si>
    <t>レベル３を満たさない。</t>
    <phoneticPr fontId="21"/>
  </si>
  <si>
    <t>-</t>
    <phoneticPr fontId="21"/>
  </si>
  <si>
    <t>［ダニ又はダニアレルゲン］≦１００匹／㎡</t>
    <phoneticPr fontId="21"/>
  </si>
  <si>
    <t>採点</t>
    <rPh sb="0" eb="2">
      <t>サイテン</t>
    </rPh>
    <phoneticPr fontId="21"/>
  </si>
  <si>
    <t>既存はなし</t>
    <rPh sb="0" eb="2">
      <t>キソン</t>
    </rPh>
    <phoneticPr fontId="21"/>
  </si>
  <si>
    <t>1～3</t>
  </si>
  <si>
    <t>1～2</t>
  </si>
  <si>
    <t>まちなみ・景観への配慮</t>
  </si>
  <si>
    <t>地域性・アメニティへの配慮</t>
  </si>
  <si>
    <t>地域性・アメニティへの配慮に関して取組みを行っていない。(評価ポイント0)</t>
  </si>
  <si>
    <t>地域性・アメニティへの配慮に関して取組みが十分とはいえない。(評価ポイント1)</t>
  </si>
  <si>
    <t>ホテルo</t>
    <phoneticPr fontId="21"/>
  </si>
  <si>
    <t>集合住宅o</t>
    <phoneticPr fontId="21"/>
  </si>
  <si>
    <t>延面積比率</t>
    <phoneticPr fontId="21"/>
  </si>
  <si>
    <t>Q</t>
    <phoneticPr fontId="21"/>
  </si>
  <si>
    <t xml:space="preserve"> Q</t>
    <phoneticPr fontId="21"/>
  </si>
  <si>
    <t>Q</t>
    <phoneticPr fontId="21"/>
  </si>
  <si>
    <t>建築物の環境品質</t>
    <phoneticPr fontId="21"/>
  </si>
  <si>
    <t>Q1</t>
    <phoneticPr fontId="34" type="noConversion"/>
  </si>
  <si>
    <t>室内環境</t>
    <phoneticPr fontId="21"/>
  </si>
  <si>
    <t>騒音</t>
    <phoneticPr fontId="21"/>
  </si>
  <si>
    <t>1.2.1</t>
    <phoneticPr fontId="21"/>
  </si>
  <si>
    <t>開口部遮音性能</t>
    <phoneticPr fontId="21"/>
  </si>
  <si>
    <t>1.2.2</t>
    <phoneticPr fontId="21"/>
  </si>
  <si>
    <t>1.2.3</t>
    <phoneticPr fontId="21"/>
  </si>
  <si>
    <t>1.2.4</t>
    <phoneticPr fontId="21"/>
  </si>
  <si>
    <t>2.1.1</t>
    <phoneticPr fontId="21"/>
  </si>
  <si>
    <t>2.3.1</t>
    <phoneticPr fontId="21"/>
  </si>
  <si>
    <t>2.3.1</t>
    <phoneticPr fontId="21"/>
  </si>
  <si>
    <t>2.3.2</t>
    <phoneticPr fontId="21"/>
  </si>
  <si>
    <t>2.3.2</t>
    <phoneticPr fontId="21"/>
  </si>
  <si>
    <t>時間外空調に対する配慮</t>
    <rPh sb="0" eb="3">
      <t>ジカンガイ</t>
    </rPh>
    <rPh sb="3" eb="5">
      <t>クウチョウ</t>
    </rPh>
    <rPh sb="6" eb="7">
      <t>タイ</t>
    </rPh>
    <rPh sb="9" eb="11">
      <t>ハイリョ</t>
    </rPh>
    <phoneticPr fontId="21"/>
  </si>
  <si>
    <t>監視システム</t>
    <rPh sb="0" eb="2">
      <t>カンシ</t>
    </rPh>
    <phoneticPr fontId="21"/>
  </si>
  <si>
    <t>湿度制御</t>
    <rPh sb="0" eb="2">
      <t>ｼﾂﾄﾞ</t>
    </rPh>
    <rPh sb="2" eb="4">
      <t>ｾｲｷﾞｮ</t>
    </rPh>
    <phoneticPr fontId="34" type="noConversion"/>
  </si>
  <si>
    <t>空調方式</t>
    <rPh sb="0" eb="2">
      <t>クウチョウ</t>
    </rPh>
    <rPh sb="2" eb="4">
      <t>ホウシキ</t>
    </rPh>
    <phoneticPr fontId="21"/>
  </si>
  <si>
    <t>上下温度差</t>
    <rPh sb="0" eb="2">
      <t>ジョウゲ</t>
    </rPh>
    <rPh sb="2" eb="5">
      <t>オンドサ</t>
    </rPh>
    <phoneticPr fontId="21"/>
  </si>
  <si>
    <t>ねずみ等の点検・防除は何も実施していない。</t>
    <phoneticPr fontId="21"/>
  </si>
  <si>
    <t>病・ホ・住</t>
    <phoneticPr fontId="21"/>
  </si>
  <si>
    <t>0.7≦　[壁長さ比率]</t>
    <phoneticPr fontId="21"/>
  </si>
  <si>
    <t>0.5≦　[壁長さ比率] ＜0.7</t>
    <phoneticPr fontId="21"/>
  </si>
  <si>
    <t>0.3≦　[壁長さ比率] ＜0.5</t>
    <phoneticPr fontId="21"/>
  </si>
  <si>
    <t>0.1≦　[壁長さ比率] ＜0.3</t>
    <phoneticPr fontId="21"/>
  </si>
  <si>
    <t xml:space="preserve"> [壁長さ比率] ＜0.1</t>
    <phoneticPr fontId="21"/>
  </si>
  <si>
    <t>外周壁の長さ（ｍ）＋耐力壁の長さ（ｍ）</t>
    <phoneticPr fontId="21"/>
  </si>
  <si>
    <t>専用面積（㎡）</t>
    <phoneticPr fontId="21"/>
  </si>
  <si>
    <r>
      <t xml:space="preserve">3.3.1 </t>
    </r>
    <r>
      <rPr>
        <b/>
        <sz val="10"/>
        <rFont val="ＭＳ Ｐゴシック"/>
        <family val="3"/>
        <charset val="128"/>
      </rPr>
      <t>空調配管の更新性</t>
    </r>
    <phoneticPr fontId="21"/>
  </si>
  <si>
    <r>
      <t xml:space="preserve">3.3.2 </t>
    </r>
    <r>
      <rPr>
        <b/>
        <sz val="10"/>
        <rFont val="ＭＳ Ｐゴシック"/>
        <family val="3"/>
        <charset val="128"/>
      </rPr>
      <t>給排水管の更新性</t>
    </r>
    <phoneticPr fontId="21"/>
  </si>
  <si>
    <t>2.1.7 時間外空調に対する配慮</t>
    <phoneticPr fontId="21"/>
  </si>
  <si>
    <t>建物全体・共用部分</t>
    <phoneticPr fontId="21"/>
  </si>
  <si>
    <t>型　枠</t>
    <rPh sb="0" eb="1">
      <t>カタ</t>
    </rPh>
    <rPh sb="2" eb="3">
      <t>ワク</t>
    </rPh>
    <phoneticPr fontId="21"/>
  </si>
  <si>
    <t>主要なリサイクル建材と利用利率</t>
    <rPh sb="0" eb="2">
      <t>シュヨウ</t>
    </rPh>
    <rPh sb="8" eb="10">
      <t>ケンザイ</t>
    </rPh>
    <rPh sb="11" eb="13">
      <t>リヨウ</t>
    </rPh>
    <rPh sb="13" eb="15">
      <t>リリツ</t>
    </rPh>
    <phoneticPr fontId="21"/>
  </si>
  <si>
    <t>高炉セメント
（躯体での利用率）</t>
    <rPh sb="0" eb="2">
      <t>コウロ</t>
    </rPh>
    <rPh sb="8" eb="10">
      <t>クタイ</t>
    </rPh>
    <rPh sb="12" eb="14">
      <t>リヨウ</t>
    </rPh>
    <rPh sb="14" eb="15">
      <t>リツ</t>
    </rPh>
    <phoneticPr fontId="21"/>
  </si>
  <si>
    <t>既存躯体の再利用
（躯体での利用率）</t>
    <rPh sb="0" eb="2">
      <t>キソン</t>
    </rPh>
    <rPh sb="2" eb="4">
      <t>クタイ</t>
    </rPh>
    <rPh sb="5" eb="8">
      <t>サイリヨウ</t>
    </rPh>
    <rPh sb="10" eb="12">
      <t>クタイ</t>
    </rPh>
    <rPh sb="14" eb="17">
      <t>リヨウリツ</t>
    </rPh>
    <phoneticPr fontId="21"/>
  </si>
  <si>
    <t>電炉鋼材（鉄筋）</t>
    <rPh sb="0" eb="2">
      <t>デンロ</t>
    </rPh>
    <rPh sb="2" eb="4">
      <t>コウザイ</t>
    </rPh>
    <phoneticPr fontId="21"/>
  </si>
  <si>
    <t>電炉鋼材（鋼材）</t>
    <rPh sb="0" eb="2">
      <t>デンロ</t>
    </rPh>
    <rPh sb="2" eb="4">
      <t>コウザイ</t>
    </rPh>
    <rPh sb="5" eb="7">
      <t>コウザイ</t>
    </rPh>
    <phoneticPr fontId="21"/>
  </si>
  <si>
    <t>更新周期（年）</t>
    <rPh sb="0" eb="2">
      <t>コウシン</t>
    </rPh>
    <rPh sb="2" eb="4">
      <t>シュウキ</t>
    </rPh>
    <rPh sb="5" eb="6">
      <t>ネン</t>
    </rPh>
    <phoneticPr fontId="21"/>
  </si>
  <si>
    <t>平均修繕率（％/年）</t>
    <rPh sb="0" eb="2">
      <t>ヘイキン</t>
    </rPh>
    <rPh sb="2" eb="4">
      <t>シュウゼン</t>
    </rPh>
    <rPh sb="4" eb="5">
      <t>リツ</t>
    </rPh>
    <rPh sb="8" eb="9">
      <t>ネン</t>
    </rPh>
    <phoneticPr fontId="21"/>
  </si>
  <si>
    <t>レベル３を満たさない。</t>
    <phoneticPr fontId="21"/>
  </si>
  <si>
    <t>何も配慮していない。</t>
    <phoneticPr fontId="21"/>
  </si>
  <si>
    <t>寒冷地域</t>
    <rPh sb="0" eb="2">
      <t>カンレイ</t>
    </rPh>
    <rPh sb="2" eb="4">
      <t>チイキ</t>
    </rPh>
    <phoneticPr fontId="21"/>
  </si>
  <si>
    <t>暑熱地域</t>
    <rPh sb="0" eb="2">
      <t>ショネツ</t>
    </rPh>
    <rPh sb="2" eb="4">
      <t>チイキ</t>
    </rPh>
    <phoneticPr fontId="21"/>
  </si>
  <si>
    <t>○○</t>
    <phoneticPr fontId="21"/>
  </si>
  <si>
    <t>地上○○F</t>
    <rPh sb="0" eb="2">
      <t>チジョウ</t>
    </rPh>
    <phoneticPr fontId="21"/>
  </si>
  <si>
    <t xml:space="preserve">隣戸の生活がかなり分かる。 </t>
    <phoneticPr fontId="21"/>
  </si>
  <si>
    <t>人の話し声が気にならない。</t>
    <phoneticPr fontId="21"/>
  </si>
  <si>
    <t>会話等の一般の発生音が小さく聞える。</t>
    <phoneticPr fontId="21"/>
  </si>
  <si>
    <t>隣戸住宅の生活がわかるがあまり気にならない。</t>
    <phoneticPr fontId="21"/>
  </si>
  <si>
    <t>会話等の一般の発生音がほとんど聞えない。</t>
    <phoneticPr fontId="21"/>
  </si>
  <si>
    <t>Dr-40未満</t>
    <phoneticPr fontId="21"/>
  </si>
  <si>
    <t>Dr-40</t>
    <phoneticPr fontId="21"/>
  </si>
  <si>
    <t>Dr-45</t>
    <phoneticPr fontId="21"/>
  </si>
  <si>
    <t>Dr-50</t>
    <phoneticPr fontId="21"/>
  </si>
  <si>
    <t>1.2.3 界床遮音性能（軽量衝撃源）</t>
    <phoneticPr fontId="21"/>
  </si>
  <si>
    <t>建物全体・共用部分</t>
    <phoneticPr fontId="21"/>
  </si>
  <si>
    <t>病・ホ・住</t>
    <phoneticPr fontId="21"/>
  </si>
  <si>
    <t>採点結果</t>
    <rPh sb="0" eb="2">
      <t>サイテン</t>
    </rPh>
    <rPh sb="2" eb="4">
      <t>ケッカ</t>
    </rPh>
    <phoneticPr fontId="21"/>
  </si>
  <si>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1"/>
  </si>
  <si>
    <t>Q2/2.2.1 躯体材料の耐用年数</t>
    <rPh sb="9" eb="11">
      <t>クタイ</t>
    </rPh>
    <rPh sb="11" eb="13">
      <t>ザイリョウ</t>
    </rPh>
    <rPh sb="14" eb="16">
      <t>タイヨウ</t>
    </rPh>
    <rPh sb="16" eb="18">
      <t>ネンスウ</t>
    </rPh>
    <phoneticPr fontId="21"/>
  </si>
  <si>
    <t>ホテル</t>
  </si>
  <si>
    <t>評価対象の構造</t>
    <rPh sb="0" eb="2">
      <t>ヒョウカ</t>
    </rPh>
    <rPh sb="2" eb="4">
      <t>タイショウ</t>
    </rPh>
    <rPh sb="5" eb="7">
      <t>コウゾウ</t>
    </rPh>
    <phoneticPr fontId="21"/>
  </si>
  <si>
    <t>LR2/2.2 既存建築躯体等の継続使用</t>
    <rPh sb="8" eb="10">
      <t>キソン</t>
    </rPh>
    <rPh sb="10" eb="12">
      <t>ケンチク</t>
    </rPh>
    <rPh sb="12" eb="14">
      <t>クタイ</t>
    </rPh>
    <rPh sb="14" eb="15">
      <t>トウ</t>
    </rPh>
    <rPh sb="16" eb="18">
      <t>ケイゾク</t>
    </rPh>
    <rPh sb="18" eb="20">
      <t>シヨウ</t>
    </rPh>
    <phoneticPr fontId="21"/>
  </si>
  <si>
    <t>用途地域</t>
    <rPh sb="0" eb="2">
      <t>ﾖｳﾄ</t>
    </rPh>
    <rPh sb="2" eb="4">
      <t>ﾁｲｷ</t>
    </rPh>
    <phoneticPr fontId="34" type="noConversion"/>
  </si>
  <si>
    <t>再生材料を用いた舗装用ブロック（焼成）</t>
    <rPh sb="0" eb="2">
      <t>サイセイ</t>
    </rPh>
    <rPh sb="2" eb="4">
      <t>ザイリョウ</t>
    </rPh>
    <rPh sb="5" eb="6">
      <t>モチ</t>
    </rPh>
    <rPh sb="8" eb="11">
      <t>ホソウヨウ</t>
    </rPh>
    <rPh sb="16" eb="17">
      <t>ヤ</t>
    </rPh>
    <rPh sb="17" eb="18">
      <t>ナリ</t>
    </rPh>
    <phoneticPr fontId="21"/>
  </si>
  <si>
    <t>●標準計算</t>
    <rPh sb="1" eb="3">
      <t>ヒョウジュン</t>
    </rPh>
    <rPh sb="3" eb="5">
      <t>ケイサン</t>
    </rPh>
    <phoneticPr fontId="21"/>
  </si>
  <si>
    <t>●個別計算</t>
    <rPh sb="1" eb="3">
      <t>コベツ</t>
    </rPh>
    <rPh sb="3" eb="5">
      <t>ケイサン</t>
    </rPh>
    <phoneticPr fontId="21"/>
  </si>
  <si>
    <t>用途名</t>
    <rPh sb="0" eb="2">
      <t>ヨウト</t>
    </rPh>
    <rPh sb="2" eb="3">
      <t>メイ</t>
    </rPh>
    <phoneticPr fontId="21"/>
  </si>
  <si>
    <t xml:space="preserve"> 含まれる用途</t>
    <rPh sb="1" eb="2">
      <t>フク</t>
    </rPh>
    <rPh sb="5" eb="7">
      <t>ヨウト</t>
    </rPh>
    <phoneticPr fontId="21"/>
  </si>
  <si>
    <t xml:space="preserve"> 事務所</t>
  </si>
  <si>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1"/>
  </si>
  <si>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1"/>
  </si>
  <si>
    <t>建築物環境衛生管理基準を満たしている。</t>
    <rPh sb="0" eb="3">
      <t>ケンチクブツ</t>
    </rPh>
    <rPh sb="3" eb="5">
      <t>カンキョウ</t>
    </rPh>
    <rPh sb="5" eb="7">
      <t>エイセイ</t>
    </rPh>
    <rPh sb="7" eb="9">
      <t>カンリ</t>
    </rPh>
    <rPh sb="9" eb="11">
      <t>キジュン</t>
    </rPh>
    <rPh sb="12" eb="13">
      <t>ミ</t>
    </rPh>
    <phoneticPr fontId="21"/>
  </si>
  <si>
    <t>耐用性・信頼性</t>
    <rPh sb="0" eb="2">
      <t>タイヨウ</t>
    </rPh>
    <rPh sb="2" eb="3">
      <t>セイ</t>
    </rPh>
    <rPh sb="4" eb="7">
      <t>シンライセイ</t>
    </rPh>
    <phoneticPr fontId="21"/>
  </si>
  <si>
    <t>(該当するレベルなし)</t>
    <phoneticPr fontId="21"/>
  </si>
  <si>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</si>
  <si>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</si>
  <si>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</si>
  <si>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1"/>
  </si>
  <si>
    <t>事業者名</t>
  </si>
  <si>
    <t>(t-CO2/kWh)</t>
  </si>
  <si>
    <t>その他</t>
    <rPh sb="2" eb="3">
      <t>タ</t>
    </rPh>
    <phoneticPr fontId="21"/>
  </si>
  <si>
    <t>リフレッシュスペースが執務スペースの1％未満</t>
    <phoneticPr fontId="21"/>
  </si>
  <si>
    <t>■効率的な運用</t>
    <rPh sb="1" eb="4">
      <t>コウリツテキ</t>
    </rPh>
    <rPh sb="5" eb="7">
      <t>ウンヨウ</t>
    </rPh>
    <phoneticPr fontId="21"/>
  </si>
  <si>
    <t>建築物衛生法における特定建築物</t>
  </si>
  <si>
    <t>1) 汚染源対策</t>
    <rPh sb="3" eb="6">
      <t>オセンゲン</t>
    </rPh>
    <rPh sb="6" eb="8">
      <t>タイサク</t>
    </rPh>
    <phoneticPr fontId="21"/>
  </si>
  <si>
    <t>2) 清掃方法</t>
    <rPh sb="3" eb="5">
      <t>セイソウ</t>
    </rPh>
    <rPh sb="5" eb="7">
      <t>ホウホウ</t>
    </rPh>
    <phoneticPr fontId="21"/>
  </si>
  <si>
    <t>3) 清掃資材</t>
    <rPh sb="3" eb="5">
      <t>セイソウ</t>
    </rPh>
    <rPh sb="5" eb="7">
      <t>シザイ</t>
    </rPh>
    <phoneticPr fontId="21"/>
  </si>
  <si>
    <t>フェロニッケルスラグ骨材</t>
    <rPh sb="10" eb="12">
      <t>コツザイ</t>
    </rPh>
    <phoneticPr fontId="21"/>
  </si>
  <si>
    <t>銅スラグ骨材</t>
    <rPh sb="0" eb="1">
      <t>ドウ</t>
    </rPh>
    <rPh sb="4" eb="6">
      <t>コツザイ</t>
    </rPh>
    <phoneticPr fontId="21"/>
  </si>
  <si>
    <t>電気炉酸化スラグ骨材</t>
    <rPh sb="0" eb="3">
      <t>デンキロ</t>
    </rPh>
    <rPh sb="3" eb="5">
      <t>サンカ</t>
    </rPh>
    <rPh sb="8" eb="10">
      <t>コツザイ</t>
    </rPh>
    <phoneticPr fontId="21"/>
  </si>
  <si>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1"/>
  </si>
  <si>
    <r>
      <t xml:space="preserve">2.2.6 </t>
    </r>
    <r>
      <rPr>
        <b/>
        <sz val="10"/>
        <rFont val="ＭＳ Ｐゴシック"/>
        <family val="3"/>
        <charset val="128"/>
      </rPr>
      <t>主要設備機器の更新必要間隔</t>
    </r>
    <phoneticPr fontId="21"/>
  </si>
  <si>
    <t>７年未満</t>
    <phoneticPr fontId="21"/>
  </si>
  <si>
    <r>
      <t xml:space="preserve">2.3.1 </t>
    </r>
    <r>
      <rPr>
        <b/>
        <sz val="10"/>
        <rFont val="ＭＳ Ｐゴシック"/>
        <family val="3"/>
        <charset val="128"/>
      </rPr>
      <t>屋上（屋根）・外壁仕上げ材の更新</t>
    </r>
    <phoneticPr fontId="21"/>
  </si>
  <si>
    <r>
      <t xml:space="preserve">2.3.2 </t>
    </r>
    <r>
      <rPr>
        <b/>
        <sz val="10"/>
        <rFont val="ＭＳ Ｐゴシック"/>
        <family val="3"/>
        <charset val="128"/>
      </rPr>
      <t>配管・配線材の更新</t>
    </r>
    <phoneticPr fontId="21"/>
  </si>
  <si>
    <t>重み係数(既定）＝</t>
    <phoneticPr fontId="21"/>
  </si>
  <si>
    <t>事・学・物・飲・会・病・ホ・工・住</t>
    <phoneticPr fontId="21"/>
  </si>
  <si>
    <t>-</t>
    <phoneticPr fontId="21"/>
  </si>
  <si>
    <r>
      <t xml:space="preserve">2.3.3 </t>
    </r>
    <r>
      <rPr>
        <b/>
        <sz val="10"/>
        <rFont val="ＭＳ Ｐゴシック"/>
        <family val="3"/>
        <charset val="128"/>
      </rPr>
      <t>主要設備機器の更新</t>
    </r>
    <phoneticPr fontId="21"/>
  </si>
  <si>
    <r>
      <t xml:space="preserve">2.4.1 </t>
    </r>
    <r>
      <rPr>
        <b/>
        <sz val="10"/>
        <rFont val="ＭＳ Ｐゴシック"/>
        <family val="3"/>
        <charset val="128"/>
      </rPr>
      <t>空調・換気設備</t>
    </r>
    <phoneticPr fontId="21"/>
  </si>
  <si>
    <t>事・会・病・ホ･工</t>
    <phoneticPr fontId="21"/>
  </si>
  <si>
    <t>学・物・飲・住</t>
    <phoneticPr fontId="21"/>
  </si>
  <si>
    <t>事・学・物・飲・会・病・ホ・工・住【&lt;2000㎡】</t>
    <phoneticPr fontId="21"/>
  </si>
  <si>
    <t>評価する取組みがない。</t>
    <phoneticPr fontId="21"/>
  </si>
  <si>
    <t>2000年代初頭</t>
    <rPh sb="4" eb="5">
      <t>ネン</t>
    </rPh>
    <rPh sb="5" eb="6">
      <t>ダイ</t>
    </rPh>
    <rPh sb="6" eb="8">
      <t>ショトウ</t>
    </rPh>
    <phoneticPr fontId="21"/>
  </si>
  <si>
    <t>ウレタン変性イソシアヌレートフォーム</t>
  </si>
  <si>
    <t>次世代</t>
    <rPh sb="0" eb="3">
      <t>ジセダイ</t>
    </rPh>
    <phoneticPr fontId="21"/>
  </si>
  <si>
    <t>スチレンオレフィンフォーム</t>
  </si>
  <si>
    <t>2000年以降</t>
    <rPh sb="4" eb="5">
      <t>ネン</t>
    </rPh>
    <rPh sb="5" eb="7">
      <t>イコウ</t>
    </rPh>
    <phoneticPr fontId="21"/>
  </si>
  <si>
    <t>レベル３を満たさない。</t>
  </si>
  <si>
    <t>評価する取組みが1つ。または中央式空調換気設備を持たない場合。</t>
  </si>
  <si>
    <t>評価する取組みがない。</t>
    <rPh sb="0" eb="2">
      <t>ヒョウカ</t>
    </rPh>
    <rPh sb="4" eb="5">
      <t>ト</t>
    </rPh>
    <rPh sb="5" eb="6">
      <t>ク</t>
    </rPh>
    <phoneticPr fontId="21"/>
  </si>
  <si>
    <t>評価する取組みが2つ。</t>
    <phoneticPr fontId="21"/>
  </si>
  <si>
    <t>評価する取組みが1つ。</t>
    <rPh sb="0" eb="2">
      <t>ヒョウカ</t>
    </rPh>
    <rPh sb="4" eb="5">
      <t>ト</t>
    </rPh>
    <rPh sb="5" eb="6">
      <t>ク</t>
    </rPh>
    <phoneticPr fontId="21"/>
  </si>
  <si>
    <t>評価する取組みが3つ以上。</t>
  </si>
  <si>
    <t>評価する取組みが2つ以上。</t>
  </si>
  <si>
    <t>評価する取組みが2つ以上。</t>
    <rPh sb="0" eb="2">
      <t>ヒョウカ</t>
    </rPh>
    <rPh sb="4" eb="5">
      <t>ト</t>
    </rPh>
    <rPh sb="5" eb="6">
      <t>ク</t>
    </rPh>
    <rPh sb="10" eb="12">
      <t>イジョウ</t>
    </rPh>
    <phoneticPr fontId="21"/>
  </si>
  <si>
    <t>評価する取り組み</t>
    <rPh sb="0" eb="2">
      <t>ヒョウカ</t>
    </rPh>
    <rPh sb="4" eb="5">
      <t>ト</t>
    </rPh>
    <rPh sb="6" eb="7">
      <t>ク</t>
    </rPh>
    <phoneticPr fontId="21"/>
  </si>
  <si>
    <t>用途</t>
    <rPh sb="0" eb="2">
      <t>ヨウト</t>
    </rPh>
    <phoneticPr fontId="21"/>
  </si>
  <si>
    <t>事・会・病・ホ･工</t>
    <rPh sb="0" eb="1">
      <t>コト</t>
    </rPh>
    <rPh sb="2" eb="3">
      <t>カイ</t>
    </rPh>
    <rPh sb="4" eb="5">
      <t>ヤマイ</t>
    </rPh>
    <rPh sb="8" eb="9">
      <t>コウ</t>
    </rPh>
    <phoneticPr fontId="21"/>
  </si>
  <si>
    <t>学・物・飲・住</t>
    <rPh sb="0" eb="1">
      <t>ガク</t>
    </rPh>
    <rPh sb="2" eb="3">
      <t>モノ</t>
    </rPh>
    <rPh sb="4" eb="5">
      <t>イン</t>
    </rPh>
    <rPh sb="6" eb="7">
      <t>ジュウ</t>
    </rPh>
    <phoneticPr fontId="21"/>
  </si>
  <si>
    <t>事・学・物・飲・会・病・ホ・工・住【&lt;2000㎡】</t>
    <rPh sb="0" eb="1">
      <t>コト</t>
    </rPh>
    <rPh sb="2" eb="3">
      <t>ガク</t>
    </rPh>
    <rPh sb="4" eb="5">
      <t>モノ</t>
    </rPh>
    <rPh sb="6" eb="7">
      <t>イン</t>
    </rPh>
    <rPh sb="8" eb="9">
      <t>カイ</t>
    </rPh>
    <rPh sb="10" eb="11">
      <t>ヤマイ</t>
    </rPh>
    <rPh sb="14" eb="15">
      <t>コウ</t>
    </rPh>
    <rPh sb="16" eb="17">
      <t>ジュウ</t>
    </rPh>
    <phoneticPr fontId="21"/>
  </si>
  <si>
    <t>床面積</t>
    <rPh sb="0" eb="3">
      <t>ユカメンセキ</t>
    </rPh>
    <phoneticPr fontId="21"/>
  </si>
  <si>
    <t>得点</t>
    <rPh sb="0" eb="2">
      <t>トクテン</t>
    </rPh>
    <phoneticPr fontId="21"/>
  </si>
  <si>
    <t>製造熱量/熱源機消費エネルギー（1次エネルギー基準）/蓄熱槽有効蓄熱量/蓄熱槽利用効率</t>
    <phoneticPr fontId="21"/>
  </si>
  <si>
    <t>昇降機</t>
  </si>
  <si>
    <t>各種管制運転効果</t>
  </si>
  <si>
    <t>削減エネルギー量</t>
    <phoneticPr fontId="21"/>
  </si>
  <si>
    <t>太陽光発電設備評価</t>
  </si>
  <si>
    <t>発電効率/定格効率/年間効率</t>
    <phoneticPr fontId="21"/>
  </si>
  <si>
    <t>発電効率/総合効率/省エネルギー率</t>
  </si>
  <si>
    <t>セキュリティ連動による消照効果/換気停止の効果等</t>
  </si>
  <si>
    <t>一次ｴﾈﾙｷﾞｰ消費量</t>
    <rPh sb="0" eb="2">
      <t>イチジ</t>
    </rPh>
    <rPh sb="8" eb="11">
      <t>ショウヒリョウ</t>
    </rPh>
    <phoneticPr fontId="21"/>
  </si>
  <si>
    <r>
      <t>kg-CO</t>
    </r>
    <r>
      <rPr>
        <vertAlign val="subscript"/>
        <sz val="10"/>
        <rFont val="ＭＳ Ｐゴシック"/>
        <family val="3"/>
        <charset val="128"/>
      </rPr>
      <t>2</t>
    </r>
    <r>
      <rPr>
        <sz val="10"/>
        <rFont val="ＭＳ Ｐゴシック"/>
        <family val="3"/>
        <charset val="128"/>
      </rPr>
      <t>/年</t>
    </r>
    <rPh sb="7" eb="8">
      <t>ネン</t>
    </rPh>
    <phoneticPr fontId="21"/>
  </si>
  <si>
    <t>湿度制御</t>
    <rPh sb="0" eb="2">
      <t>シツド</t>
    </rPh>
    <rPh sb="2" eb="4">
      <t>セイギョ</t>
    </rPh>
    <phoneticPr fontId="21"/>
  </si>
  <si>
    <t>事・物・飲・会・病・ホ・工・住</t>
    <rPh sb="0" eb="1">
      <t>コト</t>
    </rPh>
    <rPh sb="2" eb="3">
      <t>モノ</t>
    </rPh>
    <rPh sb="4" eb="5">
      <t>イン</t>
    </rPh>
    <rPh sb="6" eb="7">
      <t>カイ</t>
    </rPh>
    <rPh sb="8" eb="9">
      <t>ヤマイ</t>
    </rPh>
    <phoneticPr fontId="21"/>
  </si>
  <si>
    <t>学(大学等)</t>
    <rPh sb="0" eb="1">
      <t>ガク</t>
    </rPh>
    <phoneticPr fontId="21"/>
  </si>
  <si>
    <t>何も配慮していない。</t>
  </si>
  <si>
    <t>レベル３を満たさない。</t>
    <phoneticPr fontId="21"/>
  </si>
  <si>
    <t>簡易評価</t>
    <rPh sb="0" eb="2">
      <t>カンイ</t>
    </rPh>
    <rPh sb="2" eb="4">
      <t>ヒョウカ</t>
    </rPh>
    <phoneticPr fontId="21"/>
  </si>
  <si>
    <r>
      <t xml:space="preserve">■ </t>
    </r>
    <r>
      <rPr>
        <sz val="10"/>
        <rFont val="ＭＳ Ｐゴシック"/>
        <family val="3"/>
        <charset val="128"/>
      </rPr>
      <t>作成者</t>
    </r>
    <rPh sb="2" eb="5">
      <t>サクセイシャ</t>
    </rPh>
    <phoneticPr fontId="21"/>
  </si>
  <si>
    <t>○○○</t>
    <phoneticPr fontId="21"/>
  </si>
  <si>
    <t>省エネルギー計画書による評価</t>
    <rPh sb="0" eb="1">
      <t>ショウ</t>
    </rPh>
    <rPh sb="6" eb="9">
      <t>ケイカクショ</t>
    </rPh>
    <rPh sb="12" eb="14">
      <t>ヒョウカ</t>
    </rPh>
    <phoneticPr fontId="21"/>
  </si>
  <si>
    <r>
      <t xml:space="preserve">■ </t>
    </r>
    <r>
      <rPr>
        <sz val="10"/>
        <rFont val="ＭＳ Ｐゴシック"/>
        <family val="3"/>
        <charset val="128"/>
      </rPr>
      <t>確認日</t>
    </r>
    <rPh sb="2" eb="4">
      <t>カクニン</t>
    </rPh>
    <rPh sb="4" eb="5">
      <t>ビ</t>
    </rPh>
    <phoneticPr fontId="21"/>
  </si>
  <si>
    <t>竣工段階</t>
    <rPh sb="0" eb="2">
      <t>シュンコウ</t>
    </rPh>
    <rPh sb="2" eb="4">
      <t>ダンカイ</t>
    </rPh>
    <phoneticPr fontId="21"/>
  </si>
  <si>
    <r>
      <t xml:space="preserve">■ </t>
    </r>
    <r>
      <rPr>
        <sz val="10"/>
        <rFont val="ＭＳ Ｐゴシック"/>
        <family val="3"/>
        <charset val="128"/>
      </rPr>
      <t>確認者</t>
    </r>
    <rPh sb="2" eb="4">
      <t>カクニン</t>
    </rPh>
    <rPh sb="4" eb="5">
      <t>シャ</t>
    </rPh>
    <phoneticPr fontId="21"/>
  </si>
  <si>
    <r>
      <t>■</t>
    </r>
    <r>
      <rPr>
        <sz val="10"/>
        <rFont val="ＭＳ Ｐゴシック"/>
        <family val="3"/>
        <charset val="128"/>
      </rPr>
      <t>LCCO2の計算</t>
    </r>
    <rPh sb="7" eb="9">
      <t>ケイサン</t>
    </rPh>
    <phoneticPr fontId="21"/>
  </si>
  <si>
    <t>標準計算</t>
    <rPh sb="0" eb="2">
      <t>ヒョウジュン</t>
    </rPh>
    <rPh sb="2" eb="4">
      <t>ケイサン</t>
    </rPh>
    <phoneticPr fontId="21"/>
  </si>
  <si>
    <t>→LCCO2算定条件シート（標準計算）を入力</t>
    <rPh sb="6" eb="8">
      <t>サンテイ</t>
    </rPh>
    <rPh sb="8" eb="10">
      <t>ジョウケン</t>
    </rPh>
    <rPh sb="14" eb="16">
      <t>ヒョウジュン</t>
    </rPh>
    <rPh sb="16" eb="18">
      <t>ケイサン</t>
    </rPh>
    <rPh sb="20" eb="22">
      <t>ニュウリョク</t>
    </rPh>
    <phoneticPr fontId="21"/>
  </si>
  <si>
    <t>個別計算</t>
    <rPh sb="0" eb="2">
      <t>コベツ</t>
    </rPh>
    <rPh sb="2" eb="4">
      <t>ケイサン</t>
    </rPh>
    <phoneticPr fontId="21"/>
  </si>
  <si>
    <t>→LCCO2算定条件シート（個別計算）を入力</t>
    <rPh sb="6" eb="8">
      <t>サンテイ</t>
    </rPh>
    <rPh sb="8" eb="10">
      <t>ジョウケン</t>
    </rPh>
    <rPh sb="14" eb="16">
      <t>コベツ</t>
    </rPh>
    <rPh sb="16" eb="18">
      <t>ケイサン</t>
    </rPh>
    <rPh sb="20" eb="22">
      <t>ニュウリョク</t>
    </rPh>
    <phoneticPr fontId="21"/>
  </si>
  <si>
    <t>2) 個別用途入力</t>
    <rPh sb="3" eb="5">
      <t>コベツ</t>
    </rPh>
    <rPh sb="5" eb="7">
      <t>ヨウト</t>
    </rPh>
    <rPh sb="7" eb="9">
      <t>ニュウリョク</t>
    </rPh>
    <phoneticPr fontId="21"/>
  </si>
  <si>
    <t>①用途別延床面積　　</t>
    <rPh sb="1" eb="3">
      <t>ヨウト</t>
    </rPh>
    <rPh sb="3" eb="4">
      <t>ベツ</t>
    </rPh>
    <rPh sb="4" eb="5">
      <t>ノ</t>
    </rPh>
    <rPh sb="5" eb="6">
      <t>ユカ</t>
    </rPh>
    <rPh sb="6" eb="8">
      <t>メンセキ</t>
    </rPh>
    <phoneticPr fontId="21"/>
  </si>
  <si>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</si>
  <si>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</si>
  <si>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</si>
  <si>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</si>
  <si>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</si>
  <si>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</si>
  <si>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</si>
  <si>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1"/>
  </si>
  <si>
    <t>集会所</t>
    <rPh sb="2" eb="3">
      <t>ショ</t>
    </rPh>
    <phoneticPr fontId="21"/>
  </si>
  <si>
    <t xml:space="preserve"> 工場</t>
    <rPh sb="1" eb="3">
      <t>コウジョウ</t>
    </rPh>
    <phoneticPr fontId="21"/>
  </si>
  <si>
    <t>病院</t>
  </si>
  <si>
    <t xml:space="preserve"> 病院</t>
  </si>
  <si>
    <t>ホテル</t>
    <phoneticPr fontId="21"/>
  </si>
  <si>
    <t xml:space="preserve"> ホテル</t>
  </si>
  <si>
    <t>集合住宅</t>
  </si>
  <si>
    <t xml:space="preserve"> 集合住宅</t>
  </si>
  <si>
    <t>工場</t>
    <rPh sb="0" eb="2">
      <t>コウジョウ</t>
    </rPh>
    <phoneticPr fontId="21"/>
  </si>
  <si>
    <t>② 住居・宿泊部分の比率</t>
    <rPh sb="2" eb="4">
      <t>ジュウキョ</t>
    </rPh>
    <rPh sb="5" eb="7">
      <t>シュクハク</t>
    </rPh>
    <rPh sb="7" eb="9">
      <t>ブブン</t>
    </rPh>
    <rPh sb="10" eb="12">
      <t>ヒリツ</t>
    </rPh>
    <phoneticPr fontId="21"/>
  </si>
  <si>
    <t>合計</t>
    <rPh sb="0" eb="2">
      <t>ゴウケイ</t>
    </rPh>
    <phoneticPr fontId="21"/>
  </si>
  <si>
    <t>バージョン</t>
    <phoneticPr fontId="21"/>
  </si>
  <si>
    <t>共用部</t>
    <rPh sb="0" eb="3">
      <t>キョウヨウブ</t>
    </rPh>
    <phoneticPr fontId="21"/>
  </si>
  <si>
    <t>事・学(大学等)・病・ホ・工・住</t>
    <rPh sb="4" eb="6">
      <t>ダイガク</t>
    </rPh>
    <rPh sb="6" eb="7">
      <t>トウ</t>
    </rPh>
    <rPh sb="15" eb="16">
      <t>ジュウ</t>
    </rPh>
    <phoneticPr fontId="21"/>
  </si>
  <si>
    <t>学（小中高）</t>
    <rPh sb="0" eb="1">
      <t>ガク</t>
    </rPh>
    <rPh sb="2" eb="3">
      <t>ショウ</t>
    </rPh>
    <rPh sb="3" eb="4">
      <t>チュウ</t>
    </rPh>
    <rPh sb="4" eb="5">
      <t>コウ</t>
    </rPh>
    <phoneticPr fontId="21"/>
  </si>
  <si>
    <t>何もない。</t>
  </si>
  <si>
    <t>建物全体・共用部分</t>
    <phoneticPr fontId="21"/>
  </si>
  <si>
    <t>学（小中高）</t>
    <rPh sb="0" eb="1">
      <t>ガク</t>
    </rPh>
    <rPh sb="2" eb="5">
      <t>ショウチュウコウ</t>
    </rPh>
    <phoneticPr fontId="21"/>
  </si>
  <si>
    <t>判定表</t>
    <rPh sb="0" eb="2">
      <t>ハンテイ</t>
    </rPh>
    <rPh sb="2" eb="3">
      <t>ヒョウ</t>
    </rPh>
    <phoneticPr fontId="21"/>
  </si>
  <si>
    <t>　評価項目</t>
  </si>
  <si>
    <t>（ア）</t>
  </si>
  <si>
    <t>（イ）</t>
  </si>
  <si>
    <t>（ウ）</t>
  </si>
  <si>
    <t>ホ・住</t>
    <rPh sb="2" eb="3">
      <t>ジュウ</t>
    </rPh>
    <phoneticPr fontId="21"/>
  </si>
  <si>
    <t>バックアップ設備のためのスペースが計画的に確保されている。</t>
  </si>
  <si>
    <t>生物環境の保全と創出</t>
    <rPh sb="2" eb="4">
      <t>カンキョウ</t>
    </rPh>
    <rPh sb="8" eb="10">
      <t>ソウシュツ</t>
    </rPh>
    <phoneticPr fontId="21"/>
  </si>
  <si>
    <t>事・学・物・飲・会・病・ホ・工・住</t>
    <rPh sb="0" eb="1">
      <t>コト</t>
    </rPh>
    <rPh sb="2" eb="3">
      <t>ガク</t>
    </rPh>
    <rPh sb="4" eb="5">
      <t>モノ</t>
    </rPh>
    <rPh sb="6" eb="7">
      <t>イン</t>
    </rPh>
    <rPh sb="8" eb="9">
      <t>カイ</t>
    </rPh>
    <rPh sb="10" eb="11">
      <t>ヤマイ</t>
    </rPh>
    <phoneticPr fontId="21"/>
  </si>
  <si>
    <t>対応可能な</t>
    <rPh sb="0" eb="2">
      <t>タイオウ</t>
    </rPh>
    <rPh sb="2" eb="3">
      <t>カ</t>
    </rPh>
    <rPh sb="3" eb="4">
      <t>ノウ</t>
    </rPh>
    <phoneticPr fontId="21"/>
  </si>
  <si>
    <t>⑨　清掃時用の適度な照度の設定が可能である。</t>
    <phoneticPr fontId="21"/>
  </si>
  <si>
    <t xml:space="preserve"> Q1 2.1</t>
  </si>
  <si>
    <t>室温設定</t>
  </si>
  <si>
    <t>2.1.2</t>
  </si>
  <si>
    <t>負荷変動・追従制御性</t>
  </si>
  <si>
    <t>2.1.3</t>
  </si>
  <si>
    <t>外皮性能</t>
  </si>
  <si>
    <t>-</t>
    <phoneticPr fontId="21"/>
  </si>
  <si>
    <t>-</t>
    <phoneticPr fontId="21"/>
  </si>
  <si>
    <t>■CO2データベース</t>
    <phoneticPr fontId="21"/>
  </si>
  <si>
    <t>レベル3</t>
    <phoneticPr fontId="21"/>
  </si>
  <si>
    <t>レベル4</t>
    <phoneticPr fontId="21"/>
  </si>
  <si>
    <t>レベル5</t>
    <phoneticPr fontId="21"/>
  </si>
  <si>
    <t>ホテル</t>
    <phoneticPr fontId="21"/>
  </si>
  <si>
    <t>kg-CO2/kWh）</t>
    <phoneticPr fontId="21"/>
  </si>
  <si>
    <t>人・時間あたり指標</t>
    <rPh sb="0" eb="1">
      <t>ニン</t>
    </rPh>
    <rPh sb="2" eb="4">
      <t>ジカン</t>
    </rPh>
    <rPh sb="7" eb="9">
      <t>シヒョウ</t>
    </rPh>
    <phoneticPr fontId="21"/>
  </si>
  <si>
    <t>レベル3</t>
    <phoneticPr fontId="21"/>
  </si>
  <si>
    <t>レベル4</t>
    <phoneticPr fontId="21"/>
  </si>
  <si>
    <t>レベル5</t>
    <phoneticPr fontId="21"/>
  </si>
  <si>
    <t>事務所</t>
    <phoneticPr fontId="21"/>
  </si>
  <si>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1"/>
  </si>
  <si>
    <t>バウンダリー</t>
    <phoneticPr fontId="21"/>
  </si>
  <si>
    <r>
      <t>ｍ</t>
    </r>
    <r>
      <rPr>
        <vertAlign val="superscript"/>
        <sz val="10"/>
        <rFont val="ＭＳ Ｐゴシック"/>
        <family val="3"/>
        <charset val="128"/>
      </rPr>
      <t>3</t>
    </r>
    <r>
      <rPr>
        <sz val="10"/>
        <rFont val="ＭＳ Ｐゴシック"/>
        <family val="3"/>
        <charset val="128"/>
      </rPr>
      <t>/㎡</t>
    </r>
    <phoneticPr fontId="21"/>
  </si>
  <si>
    <t>□　□</t>
    <phoneticPr fontId="21"/>
  </si>
  <si>
    <t>○○</t>
    <phoneticPr fontId="21"/>
  </si>
  <si>
    <t>kg/㎡</t>
    <phoneticPr fontId="21"/>
  </si>
  <si>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1"/>
  </si>
  <si>
    <t>〃</t>
    <phoneticPr fontId="21"/>
  </si>
  <si>
    <t>修繕・更新・</t>
    <phoneticPr fontId="21"/>
  </si>
  <si>
    <t>解体段階</t>
    <phoneticPr fontId="21"/>
  </si>
  <si>
    <t>①参照値／
②建築物の取組み</t>
    <phoneticPr fontId="21"/>
  </si>
  <si>
    <t>③上記+②以外の
　オンサイト手法</t>
    <phoneticPr fontId="21"/>
  </si>
  <si>
    <t>－</t>
    <phoneticPr fontId="21"/>
  </si>
  <si>
    <t>kg-CO2/年㎡</t>
    <phoneticPr fontId="21"/>
  </si>
  <si>
    <t>kg-CO2/年㎡</t>
    <phoneticPr fontId="21"/>
  </si>
  <si>
    <t>kg-CO2/年㎡</t>
    <phoneticPr fontId="21"/>
  </si>
  <si>
    <t>－</t>
    <phoneticPr fontId="21"/>
  </si>
  <si>
    <t>④上記+
　オフサイト手法</t>
    <phoneticPr fontId="21"/>
  </si>
  <si>
    <t>kg-CO2/年㎡</t>
    <phoneticPr fontId="21"/>
  </si>
  <si>
    <t>(a)　グリーン電力証書によるカーボンオフセット</t>
    <phoneticPr fontId="21"/>
  </si>
  <si>
    <t>(b)グリーン熱証書によるカーボンオフセット</t>
    <phoneticPr fontId="21"/>
  </si>
  <si>
    <t>（ｃ）その他カーボンクレジット</t>
    <phoneticPr fontId="21"/>
  </si>
  <si>
    <t>(d)調整後排出量（調整後排出係数による）と実排出量の差</t>
    <phoneticPr fontId="21"/>
  </si>
  <si>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1"/>
  </si>
  <si>
    <t>10年未満</t>
  </si>
  <si>
    <t>10年以上～20年未満</t>
  </si>
  <si>
    <t>20年</t>
  </si>
  <si>
    <r>
      <t>LR2</t>
    </r>
    <r>
      <rPr>
        <b/>
        <sz val="12"/>
        <rFont val="ＭＳ Ｐゴシック"/>
        <family val="3"/>
        <charset val="128"/>
      </rPr>
      <t>　資源・マテリアル</t>
    </r>
    <rPh sb="4" eb="6">
      <t>シゲン</t>
    </rPh>
    <phoneticPr fontId="21"/>
  </si>
  <si>
    <t>水資源保護</t>
    <rPh sb="0" eb="1">
      <t>ミズ</t>
    </rPh>
    <rPh sb="1" eb="3">
      <t>シゲン</t>
    </rPh>
    <rPh sb="3" eb="5">
      <t>ホゴ</t>
    </rPh>
    <phoneticPr fontId="21"/>
  </si>
  <si>
    <t>事・学・物・飲・会・病・ホ･工・住</t>
    <rPh sb="0" eb="1">
      <t>コト</t>
    </rPh>
    <rPh sb="2" eb="3">
      <t>ガク</t>
    </rPh>
    <rPh sb="4" eb="5">
      <t>モノ</t>
    </rPh>
    <rPh sb="6" eb="7">
      <t>イン</t>
    </rPh>
    <rPh sb="8" eb="9">
      <t>カイ</t>
    </rPh>
    <rPh sb="10" eb="11">
      <t>ヤマイ</t>
    </rPh>
    <rPh sb="16" eb="17">
      <t>ジュウ</t>
    </rPh>
    <phoneticPr fontId="21"/>
  </si>
  <si>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</si>
  <si>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3" type="noConversion"/>
  </si>
  <si>
    <r>
      <t xml:space="preserve">1.2.2 </t>
    </r>
    <r>
      <rPr>
        <b/>
        <sz val="10"/>
        <rFont val="ＭＳ Ｐゴシック"/>
        <family val="3"/>
        <charset val="128"/>
      </rPr>
      <t>雑排水等利用システム導入の有無</t>
    </r>
    <rPh sb="9" eb="10">
      <t>トウ</t>
    </rPh>
    <rPh sb="11" eb="12">
      <t>ヨウ</t>
    </rPh>
    <phoneticPr fontId="21"/>
  </si>
  <si>
    <t>小中高は既存も新築の基準</t>
    <rPh sb="0" eb="3">
      <t>ショウチュウコウ</t>
    </rPh>
    <rPh sb="4" eb="6">
      <t>キソン</t>
    </rPh>
    <rPh sb="7" eb="9">
      <t>シンチク</t>
    </rPh>
    <rPh sb="10" eb="12">
      <t>キジュン</t>
    </rPh>
    <phoneticPr fontId="21"/>
  </si>
  <si>
    <t>学校施設として標準的な取り組みをしている</t>
    <rPh sb="0" eb="2">
      <t>ガッコウ</t>
    </rPh>
    <rPh sb="2" eb="4">
      <t>シセツ</t>
    </rPh>
    <rPh sb="7" eb="10">
      <t>ヒョウジュンテキ</t>
    </rPh>
    <rPh sb="11" eb="12">
      <t>ト</t>
    </rPh>
    <rPh sb="13" eb="14">
      <t>ク</t>
    </rPh>
    <phoneticPr fontId="21"/>
  </si>
  <si>
    <t>Fc=36以上60未満　かつF=390以上</t>
    <rPh sb="19" eb="21">
      <t>イジョウ</t>
    </rPh>
    <phoneticPr fontId="21"/>
  </si>
  <si>
    <t>F=325以上　355未満</t>
    <rPh sb="11" eb="13">
      <t>ミマン</t>
    </rPh>
    <phoneticPr fontId="21"/>
  </si>
  <si>
    <t>その他これに準ずるもの</t>
  </si>
  <si>
    <t>既存建築躯体等の継続使用</t>
    <rPh sb="0" eb="2">
      <t>キソン</t>
    </rPh>
    <rPh sb="2" eb="4">
      <t>ケンチク</t>
    </rPh>
    <rPh sb="4" eb="6">
      <t>クタイ</t>
    </rPh>
    <rPh sb="6" eb="7">
      <t>トウ</t>
    </rPh>
    <rPh sb="8" eb="10">
      <t>ケイゾク</t>
    </rPh>
    <rPh sb="10" eb="12">
      <t>シヨウ</t>
    </rPh>
    <phoneticPr fontId="21"/>
  </si>
  <si>
    <t>既存の建築躯体を再利用している。</t>
  </si>
  <si>
    <t>リサイクル資材の例</t>
    <rPh sb="5" eb="7">
      <t>シザイ</t>
    </rPh>
    <rPh sb="8" eb="9">
      <t>レイ</t>
    </rPh>
    <phoneticPr fontId="21"/>
  </si>
  <si>
    <t>品目名</t>
    <rPh sb="0" eb="2">
      <t>ヒンモク</t>
    </rPh>
    <rPh sb="2" eb="3">
      <t>メイ</t>
    </rPh>
    <phoneticPr fontId="21"/>
  </si>
  <si>
    <t>①グリーン調達品目（公共工事）</t>
    <rPh sb="5" eb="7">
      <t>チョウタツ</t>
    </rPh>
    <rPh sb="7" eb="9">
      <t>ヒンモク</t>
    </rPh>
    <rPh sb="10" eb="12">
      <t>コウキョウ</t>
    </rPh>
    <rPh sb="12" eb="14">
      <t>コウジ</t>
    </rPh>
    <phoneticPr fontId="21"/>
  </si>
  <si>
    <t>高炉スラグ骨材</t>
    <rPh sb="0" eb="2">
      <t>コウロ</t>
    </rPh>
    <rPh sb="5" eb="7">
      <t>コツザイ</t>
    </rPh>
    <phoneticPr fontId="21"/>
  </si>
  <si>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1"/>
  </si>
  <si>
    <t>5) 安全対策</t>
    <rPh sb="3" eb="5">
      <t>アンゼン</t>
    </rPh>
    <rPh sb="5" eb="7">
      <t>タイサク</t>
    </rPh>
    <phoneticPr fontId="21"/>
  </si>
  <si>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1"/>
  </si>
  <si>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</si>
  <si>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</si>
  <si>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</si>
  <si>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</si>
  <si>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</si>
  <si>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1"/>
  </si>
  <si>
    <t>①換気設備の重要度に応じて系統を区分し，災害時においては重要度の高い系統を優先的に運転するほか，負荷容量を下げた運転も可能となるよう検討している。</t>
    <phoneticPr fontId="21"/>
  </si>
  <si>
    <t>②熱源種（電気，ガスなど）の分散化，二重化，バックアップを行っている。</t>
    <phoneticPr fontId="21"/>
  </si>
  <si>
    <t>③地震時の部分的被害が全体機能の停止を引き起こさないような対策（吊配管など）を行っている。</t>
    <phoneticPr fontId="21"/>
  </si>
  <si>
    <t>④空調設備の重要度に応じて系統を区分し，災害時においては重要度の高い系統を優先的に運転するほか，負荷容量を下げた運転も可能となるよう計画している。</t>
    <phoneticPr fontId="21"/>
  </si>
  <si>
    <r>
      <t xml:space="preserve">2.4.2 </t>
    </r>
    <r>
      <rPr>
        <b/>
        <sz val="10"/>
        <rFont val="ＭＳ Ｐゴシック"/>
        <family val="3"/>
        <charset val="128"/>
      </rPr>
      <t>給排水・衛生設備</t>
    </r>
    <phoneticPr fontId="21"/>
  </si>
  <si>
    <t>事・学・会・病・ホ・工・住</t>
    <phoneticPr fontId="21"/>
  </si>
  <si>
    <t>物・飲</t>
    <phoneticPr fontId="21"/>
  </si>
  <si>
    <t>評価する取組みが1つ。</t>
    <phoneticPr fontId="21"/>
  </si>
  <si>
    <t>②可能な限り配管の系統を区分し，災害時の使用不能部分の低減を図っている。</t>
    <phoneticPr fontId="21"/>
  </si>
  <si>
    <t>④受水槽，高架水槽は，二基の水槽をそれぞれに分離して設置している。</t>
    <phoneticPr fontId="21"/>
  </si>
  <si>
    <t>⑤井水，中水などの利用が可能なように計画している。</t>
    <phoneticPr fontId="21"/>
  </si>
  <si>
    <t>②無停電電源設備を備えている。</t>
    <phoneticPr fontId="21"/>
  </si>
  <si>
    <r>
      <t xml:space="preserve">2.4.4 </t>
    </r>
    <r>
      <rPr>
        <b/>
        <sz val="10"/>
        <rFont val="ＭＳ Ｐゴシック"/>
        <family val="3"/>
        <charset val="128"/>
      </rPr>
      <t>機械・配管支持方法</t>
    </r>
    <phoneticPr fontId="21"/>
  </si>
  <si>
    <r>
      <t xml:space="preserve">2.4.5 </t>
    </r>
    <r>
      <rPr>
        <b/>
        <sz val="10"/>
        <rFont val="ＭＳ Ｐゴシック"/>
        <family val="3"/>
        <charset val="128"/>
      </rPr>
      <t>通信・情報設備</t>
    </r>
    <phoneticPr fontId="21"/>
  </si>
  <si>
    <t>ＰＩＤ制御による温度・室内湿度になっている。</t>
    <phoneticPr fontId="21"/>
  </si>
  <si>
    <t>快適センサーなどによる温度・湿度制御（快適範囲における温度制御）が可能である。</t>
    <phoneticPr fontId="21"/>
  </si>
  <si>
    <t>住居・宿泊部分</t>
    <phoneticPr fontId="21"/>
  </si>
  <si>
    <t>竣工年</t>
    <rPh sb="0" eb="2">
      <t>ｼｭﾝｺｳ</t>
    </rPh>
    <rPh sb="2" eb="3">
      <t>ﾈﾝ</t>
    </rPh>
    <phoneticPr fontId="34" type="noConversion"/>
  </si>
  <si>
    <t>評価の実施日</t>
    <rPh sb="0" eb="2">
      <t>ヒョウカ</t>
    </rPh>
    <rPh sb="3" eb="6">
      <t>ジッシビ</t>
    </rPh>
    <phoneticPr fontId="21"/>
  </si>
  <si>
    <t>敷地面積</t>
    <rPh sb="0" eb="2">
      <t>ｼｷﾁ</t>
    </rPh>
    <rPh sb="2" eb="4">
      <t>ﾒﾝｾｷ</t>
    </rPh>
    <phoneticPr fontId="34" type="noConversion"/>
  </si>
  <si>
    <t>作成者</t>
    <rPh sb="0" eb="3">
      <t>サクセイシャ</t>
    </rPh>
    <phoneticPr fontId="21"/>
  </si>
  <si>
    <r>
      <t>Q1</t>
    </r>
    <r>
      <rPr>
        <sz val="11"/>
        <rFont val="ＭＳ Ｐゴシック"/>
        <family val="3"/>
        <charset val="128"/>
      </rPr>
      <t>　
室内環境</t>
    </r>
    <rPh sb="4" eb="6">
      <t>シツナイ</t>
    </rPh>
    <rPh sb="6" eb="8">
      <t>カンキョウ</t>
    </rPh>
    <phoneticPr fontId="21"/>
  </si>
  <si>
    <t>建築面積</t>
    <rPh sb="0" eb="2">
      <t>ｹﾝﾁｸ</t>
    </rPh>
    <rPh sb="2" eb="4">
      <t>ﾒﾝｾｷ</t>
    </rPh>
    <phoneticPr fontId="34" type="noConversion"/>
  </si>
  <si>
    <t>確認日</t>
    <rPh sb="0" eb="2">
      <t>カクニン</t>
    </rPh>
    <rPh sb="2" eb="3">
      <t>ビ</t>
    </rPh>
    <phoneticPr fontId="21"/>
  </si>
  <si>
    <t>Rank(red star)</t>
    <phoneticPr fontId="21"/>
  </si>
  <si>
    <t>延床面積</t>
    <rPh sb="0" eb="1">
      <t>ﾉ</t>
    </rPh>
    <rPh sb="1" eb="4">
      <t>ﾕｶﾒﾝｾｷ</t>
    </rPh>
    <phoneticPr fontId="34" type="noConversion"/>
  </si>
  <si>
    <t>確認者</t>
    <rPh sb="0" eb="2">
      <t>カクニン</t>
    </rPh>
    <rPh sb="2" eb="3">
      <t>シャ</t>
    </rPh>
    <phoneticPr fontId="21"/>
  </si>
  <si>
    <t>(blank star)</t>
    <phoneticPr fontId="21"/>
  </si>
  <si>
    <t>改修工事期間</t>
  </si>
  <si>
    <t>改修対象項目</t>
  </si>
  <si>
    <t>躯体</t>
  </si>
  <si>
    <t>改修目的</t>
  </si>
  <si>
    <t>外装</t>
  </si>
  <si>
    <t>改修後の想定使用年数</t>
    <rPh sb="6" eb="8">
      <t>シヨウ</t>
    </rPh>
    <phoneticPr fontId="21"/>
  </si>
  <si>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</si>
  <si>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</si>
  <si>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</si>
  <si>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4"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</si>
  <si>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1"/>
  </si>
  <si>
    <r>
      <t>2-3</t>
    </r>
    <r>
      <rPr>
        <b/>
        <sz val="12"/>
        <color indexed="9"/>
        <rFont val="ＭＳ Ｐゴシック"/>
        <family val="3"/>
        <charset val="128"/>
      </rPr>
      <t>　大項目の評価（ﾚｰﾀﾞｰﾁｬｰﾄ）</t>
    </r>
    <rPh sb="4" eb="7">
      <t>ダイコウモク</t>
    </rPh>
    <rPh sb="8" eb="10">
      <t>ヒョウカ</t>
    </rPh>
    <phoneticPr fontId="21"/>
  </si>
  <si>
    <t>基準</t>
    <rPh sb="0" eb="2">
      <t>キジュン</t>
    </rPh>
    <phoneticPr fontId="21"/>
  </si>
  <si>
    <t>評価</t>
    <rPh sb="0" eb="2">
      <t>ヒョウカ</t>
    </rPh>
    <phoneticPr fontId="21"/>
  </si>
  <si>
    <t>原点</t>
    <rPh sb="0" eb="2">
      <t>ゲンテン</t>
    </rPh>
    <phoneticPr fontId="21"/>
  </si>
  <si>
    <r>
      <t>BEE</t>
    </r>
    <r>
      <rPr>
        <sz val="11"/>
        <rFont val="ＭＳ Ｐゴシック"/>
        <family val="3"/>
        <charset val="128"/>
      </rPr>
      <t>の分母側</t>
    </r>
    <r>
      <rPr>
        <sz val="11"/>
        <rFont val="Arial"/>
        <family val="2"/>
      </rPr>
      <t>(L)</t>
    </r>
    <rPh sb="4" eb="6">
      <t>ブンボ</t>
    </rPh>
    <rPh sb="6" eb="7">
      <t>ガワ</t>
    </rPh>
    <phoneticPr fontId="21"/>
  </si>
  <si>
    <t>X目盛線</t>
    <rPh sb="1" eb="3">
      <t>メモ</t>
    </rPh>
    <rPh sb="3" eb="4">
      <t>セン</t>
    </rPh>
    <phoneticPr fontId="21"/>
  </si>
  <si>
    <t>Y目盛線</t>
    <rPh sb="1" eb="3">
      <t>メモ</t>
    </rPh>
    <rPh sb="3" eb="4">
      <t>セン</t>
    </rPh>
    <phoneticPr fontId="21"/>
  </si>
  <si>
    <r>
      <t>BEE</t>
    </r>
    <r>
      <rPr>
        <sz val="11"/>
        <rFont val="ＭＳ Ｐゴシック"/>
        <family val="3"/>
        <charset val="128"/>
      </rPr>
      <t>の分子側</t>
    </r>
    <r>
      <rPr>
        <sz val="11"/>
        <rFont val="Arial"/>
        <family val="2"/>
      </rPr>
      <t>(Q)</t>
    </r>
    <rPh sb="4" eb="6">
      <t>ブンシ</t>
    </rPh>
    <rPh sb="6" eb="7">
      <t>ガワ</t>
    </rPh>
    <phoneticPr fontId="21"/>
  </si>
  <si>
    <t>Lr-65より悪い</t>
    <phoneticPr fontId="21"/>
  </si>
  <si>
    <t>Lr-55より悪い</t>
    <phoneticPr fontId="21"/>
  </si>
  <si>
    <t>Lr-65</t>
    <phoneticPr fontId="21"/>
  </si>
  <si>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1"/>
  </si>
  <si>
    <t>同左</t>
    <rPh sb="0" eb="2">
      <t>ドウサ</t>
    </rPh>
    <phoneticPr fontId="21"/>
  </si>
  <si>
    <t>運用
段階</t>
    <rPh sb="0" eb="2">
      <t>ウンヨウ</t>
    </rPh>
    <rPh sb="3" eb="5">
      <t>ダンカイ</t>
    </rPh>
    <phoneticPr fontId="21"/>
  </si>
  <si>
    <t>参考</t>
    <rPh sb="0" eb="2">
      <t>サンコウ</t>
    </rPh>
    <phoneticPr fontId="21"/>
  </si>
  <si>
    <t>非住宅部</t>
    <rPh sb="0" eb="1">
      <t>ヒ</t>
    </rPh>
    <rPh sb="1" eb="3">
      <t>ジュウタク</t>
    </rPh>
    <rPh sb="3" eb="4">
      <t>ブ</t>
    </rPh>
    <phoneticPr fontId="21"/>
  </si>
  <si>
    <t>品確法</t>
    <rPh sb="0" eb="3">
      <t>ヒンカクホウ</t>
    </rPh>
    <phoneticPr fontId="21"/>
  </si>
  <si>
    <t>GJ/年</t>
    <rPh sb="3" eb="4">
      <t>ネン</t>
    </rPh>
    <phoneticPr fontId="21"/>
  </si>
  <si>
    <t>LR1/3.設備システムの高効率化</t>
    <rPh sb="6" eb="8">
      <t>セツビ</t>
    </rPh>
    <rPh sb="13" eb="17">
      <t>コウコウリツカ</t>
    </rPh>
    <phoneticPr fontId="21"/>
  </si>
  <si>
    <t>統計値　MJ/年㎡</t>
    <rPh sb="0" eb="2">
      <t>トウケイ</t>
    </rPh>
    <rPh sb="2" eb="3">
      <t>チ</t>
    </rPh>
    <rPh sb="7" eb="8">
      <t>ネン</t>
    </rPh>
    <phoneticPr fontId="21"/>
  </si>
  <si>
    <t>低減率</t>
    <rPh sb="0" eb="2">
      <t>テイゲン</t>
    </rPh>
    <rPh sb="2" eb="3">
      <t>リツ</t>
    </rPh>
    <phoneticPr fontId="21"/>
  </si>
  <si>
    <t>LR1/4.　効率的な運用</t>
    <rPh sb="7" eb="10">
      <t>コウリツテキ</t>
    </rPh>
    <rPh sb="11" eb="13">
      <t>ウンヨウ</t>
    </rPh>
    <phoneticPr fontId="21"/>
  </si>
  <si>
    <t>用途別面積</t>
    <rPh sb="0" eb="2">
      <t>ヨウト</t>
    </rPh>
    <rPh sb="2" eb="3">
      <t>ベツ</t>
    </rPh>
    <rPh sb="3" eb="5">
      <t>メンセキ</t>
    </rPh>
    <phoneticPr fontId="23"/>
  </si>
  <si>
    <t>3）空間提供による地域貢献</t>
    <phoneticPr fontId="21"/>
  </si>
  <si>
    <t>5）建物内外を連関させる豊かな中間領域の形成</t>
    <phoneticPr fontId="21"/>
  </si>
  <si>
    <t>地球温暖化への配慮</t>
    <rPh sb="0" eb="2">
      <t>ﾁｷｭｳ</t>
    </rPh>
    <rPh sb="2" eb="5">
      <t>ｵﾝﾀﾞﾝｶ</t>
    </rPh>
    <rPh sb="7" eb="9">
      <t>ﾊｲﾘｮ</t>
    </rPh>
    <phoneticPr fontId="34" type="noConversion"/>
  </si>
  <si>
    <t>地域環境への配慮</t>
    <rPh sb="0" eb="2">
      <t>ﾁｲｷ</t>
    </rPh>
    <rPh sb="2" eb="4">
      <t>ｶﾝｷｮｳ</t>
    </rPh>
    <rPh sb="6" eb="8">
      <t>ﾊｲﾘｮ</t>
    </rPh>
    <phoneticPr fontId="34" type="noConversion"/>
  </si>
  <si>
    <t>大気汚染防止</t>
    <rPh sb="0" eb="2">
      <t>ﾀｲｷ</t>
    </rPh>
    <rPh sb="2" eb="4">
      <t>ｵｾﾝ</t>
    </rPh>
    <rPh sb="4" eb="6">
      <t>ﾎﾞｳｼ</t>
    </rPh>
    <phoneticPr fontId="34" type="noConversion"/>
  </si>
  <si>
    <t>地域インフラへの負荷抑制</t>
    <rPh sb="0" eb="2">
      <t>チイキ</t>
    </rPh>
    <rPh sb="8" eb="10">
      <t>フカ</t>
    </rPh>
    <rPh sb="10" eb="12">
      <t>ヨクセイ</t>
    </rPh>
    <phoneticPr fontId="21"/>
  </si>
  <si>
    <t>交通負荷抑制</t>
    <rPh sb="0" eb="2">
      <t>ｺｳﾂｳ</t>
    </rPh>
    <rPh sb="2" eb="4">
      <t>ﾌｶ</t>
    </rPh>
    <rPh sb="4" eb="6">
      <t>ﾖｸｾｲ</t>
    </rPh>
    <phoneticPr fontId="34" type="noConversion"/>
  </si>
  <si>
    <t>駐車場等</t>
    <rPh sb="0" eb="3">
      <t>チュウシャジョウ</t>
    </rPh>
    <rPh sb="3" eb="4">
      <t>トウ</t>
    </rPh>
    <phoneticPr fontId="21"/>
  </si>
  <si>
    <t>○○ビル</t>
    <phoneticPr fontId="21"/>
  </si>
  <si>
    <t>XXX</t>
    <phoneticPr fontId="21"/>
  </si>
  <si>
    <t>㎡</t>
    <phoneticPr fontId="21"/>
  </si>
  <si>
    <t>XXX</t>
    <phoneticPr fontId="21"/>
  </si>
  <si>
    <t>㎡</t>
    <phoneticPr fontId="21"/>
  </si>
  <si>
    <t>○○</t>
    <phoneticPr fontId="21"/>
  </si>
  <si>
    <r>
      <t>c</t>
    </r>
    <r>
      <rPr>
        <sz val="11"/>
        <rFont val="ＭＳ Ｐゴシック"/>
        <family val="3"/>
        <charset val="128"/>
      </rPr>
      <t>ommon</t>
    </r>
    <phoneticPr fontId="21"/>
  </si>
  <si>
    <t>Residential</t>
    <phoneticPr fontId="21"/>
  </si>
  <si>
    <t xml:space="preserve"> 事務所</t>
    <phoneticPr fontId="21"/>
  </si>
  <si>
    <t>㎡</t>
    <phoneticPr fontId="21"/>
  </si>
  <si>
    <t>ホテル</t>
    <phoneticPr fontId="21"/>
  </si>
  <si>
    <t xml:space="preserve"> 集合住宅（戸建は対象外）</t>
    <phoneticPr fontId="21"/>
  </si>
  <si>
    <t>排水の施設・設備</t>
    <rPh sb="0" eb="2">
      <t>ハイスイ</t>
    </rPh>
    <rPh sb="3" eb="5">
      <t>シセツ</t>
    </rPh>
    <rPh sb="6" eb="8">
      <t>セツビ</t>
    </rPh>
    <phoneticPr fontId="21"/>
  </si>
  <si>
    <t>木　材</t>
  </si>
  <si>
    <t>やや高度な対策を行っている（評価する取組みにおいて3項目以上を採用）</t>
    <phoneticPr fontId="21"/>
  </si>
  <si>
    <t>.建物全体・共用部分</t>
    <phoneticPr fontId="21"/>
  </si>
  <si>
    <t>住居・宿泊部分</t>
    <phoneticPr fontId="21"/>
  </si>
  <si>
    <t>設備騒音の種類</t>
    <phoneticPr fontId="21"/>
  </si>
  <si>
    <t>対策例</t>
    <phoneticPr fontId="21"/>
  </si>
  <si>
    <t>設備騒音の種類</t>
    <phoneticPr fontId="21"/>
  </si>
  <si>
    <t>対策例</t>
    <phoneticPr fontId="21"/>
  </si>
  <si>
    <t>通信機関係等</t>
    <phoneticPr fontId="21"/>
  </si>
  <si>
    <t>放送室等</t>
    <phoneticPr fontId="21"/>
  </si>
  <si>
    <t>制御室等</t>
    <phoneticPr fontId="21"/>
  </si>
  <si>
    <t>フィルム等保管庫</t>
    <phoneticPr fontId="21"/>
  </si>
  <si>
    <t>危険物施設の計器室等</t>
    <phoneticPr fontId="21"/>
  </si>
  <si>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1"/>
  </si>
  <si>
    <t>学校版</t>
    <rPh sb="0" eb="2">
      <t>ガッコウ</t>
    </rPh>
    <rPh sb="2" eb="3">
      <t>バン</t>
    </rPh>
    <phoneticPr fontId="21"/>
  </si>
  <si>
    <t>大掃除の実施</t>
    <rPh sb="0" eb="3">
      <t>オオソウジ</t>
    </rPh>
    <rPh sb="4" eb="6">
      <t>ジッシ</t>
    </rPh>
    <phoneticPr fontId="21"/>
  </si>
  <si>
    <t>電気％</t>
    <rPh sb="0" eb="2">
      <t>デンキ</t>
    </rPh>
    <phoneticPr fontId="21"/>
  </si>
  <si>
    <t>住宅　専有部（住戸全体）</t>
    <rPh sb="0" eb="2">
      <t>ジュウタク</t>
    </rPh>
    <rPh sb="3" eb="5">
      <t>センユウ</t>
    </rPh>
    <rPh sb="5" eb="6">
      <t>ブ</t>
    </rPh>
    <rPh sb="7" eb="9">
      <t>ジュウコ</t>
    </rPh>
    <rPh sb="9" eb="11">
      <t>ゼンタイ</t>
    </rPh>
    <phoneticPr fontId="21"/>
  </si>
  <si>
    <t>太陽光発電の発電量</t>
    <phoneticPr fontId="21"/>
  </si>
  <si>
    <t>建設</t>
    <rPh sb="0" eb="2">
      <t>ケンセツ</t>
    </rPh>
    <phoneticPr fontId="21"/>
  </si>
  <si>
    <t>修繕・更新・解体</t>
    <rPh sb="0" eb="2">
      <t>シュウゼン</t>
    </rPh>
    <rPh sb="3" eb="5">
      <t>コウシン</t>
    </rPh>
    <rPh sb="6" eb="8">
      <t>カイタイ</t>
    </rPh>
    <phoneticPr fontId="21"/>
  </si>
  <si>
    <t>運用</t>
    <rPh sb="0" eb="2">
      <t>ウンヨウ</t>
    </rPh>
    <phoneticPr fontId="21"/>
  </si>
  <si>
    <t>Ref</t>
    <phoneticPr fontId="21"/>
  </si>
  <si>
    <r>
      <t>Q</t>
    </r>
    <r>
      <rPr>
        <b/>
        <sz val="11"/>
        <color indexed="26"/>
        <rFont val="ＭＳ Ｐゴシック"/>
        <family val="3"/>
        <charset val="128"/>
      </rPr>
      <t>　環境品質</t>
    </r>
    <rPh sb="2" eb="4">
      <t>カンキョウ</t>
    </rPh>
    <rPh sb="4" eb="6">
      <t>ヒンシツ</t>
    </rPh>
    <phoneticPr fontId="21"/>
  </si>
  <si>
    <r>
      <t>Q</t>
    </r>
    <r>
      <rPr>
        <b/>
        <i/>
        <sz val="14"/>
        <color indexed="9"/>
        <rFont val="ＭＳ Ｐゴシック"/>
        <family val="3"/>
        <charset val="128"/>
      </rPr>
      <t>のスコア</t>
    </r>
    <r>
      <rPr>
        <b/>
        <i/>
        <sz val="14"/>
        <color indexed="9"/>
        <rFont val="Arial"/>
        <family val="2"/>
      </rPr>
      <t>=</t>
    </r>
    <phoneticPr fontId="21"/>
  </si>
  <si>
    <t>Subjest1</t>
    <phoneticPr fontId="21"/>
  </si>
  <si>
    <t>Subjest2</t>
    <phoneticPr fontId="21"/>
  </si>
  <si>
    <t>Subjest3</t>
    <phoneticPr fontId="21"/>
  </si>
  <si>
    <t>Score</t>
    <phoneticPr fontId="21"/>
  </si>
  <si>
    <t>開口部遮音性能</t>
    <phoneticPr fontId="21"/>
  </si>
  <si>
    <t>界壁遮音性能</t>
  </si>
  <si>
    <t>界床遮音性能（軽量衝撃源）</t>
  </si>
  <si>
    <t>界床遮音性能（重量衝撃源）</t>
  </si>
  <si>
    <t>吸音</t>
  </si>
  <si>
    <t>温熱環境</t>
    <rPh sb="0" eb="2">
      <t>ｵﾝﾈﾂ</t>
    </rPh>
    <rPh sb="2" eb="4">
      <t>ｶﾝｷｮｳ</t>
    </rPh>
    <phoneticPr fontId="34" type="noConversion"/>
  </si>
  <si>
    <t>室温制御</t>
    <rPh sb="0" eb="2">
      <t>ｼﾂｵﾝ</t>
    </rPh>
    <rPh sb="2" eb="4">
      <t>ｾｲｷﾞｮ</t>
    </rPh>
    <phoneticPr fontId="34" type="noConversion"/>
  </si>
  <si>
    <t>外皮性能</t>
    <rPh sb="0" eb="2">
      <t>ガイヒ</t>
    </rPh>
    <rPh sb="2" eb="4">
      <t>セイノウ</t>
    </rPh>
    <phoneticPr fontId="21"/>
  </si>
  <si>
    <t>ゾーン別制御性</t>
    <rPh sb="3" eb="4">
      <t>ベツ</t>
    </rPh>
    <rPh sb="4" eb="7">
      <t>セイギョセイ</t>
    </rPh>
    <phoneticPr fontId="21"/>
  </si>
  <si>
    <t>個別制御</t>
    <rPh sb="0" eb="2">
      <t>コベツ</t>
    </rPh>
    <rPh sb="2" eb="4">
      <t>セイギョ</t>
    </rPh>
    <phoneticPr fontId="21"/>
  </si>
  <si>
    <t>居室面積の1/6以上の開閉可能な窓を確保している。</t>
    <phoneticPr fontId="21"/>
  </si>
  <si>
    <t>Q2 サービス性能</t>
    <phoneticPr fontId="21"/>
  </si>
  <si>
    <t>Q</t>
    <phoneticPr fontId="21"/>
  </si>
  <si>
    <t>Q3</t>
    <phoneticPr fontId="21"/>
  </si>
  <si>
    <t>BEE(Round)</t>
    <phoneticPr fontId="21"/>
  </si>
  <si>
    <t>LR1</t>
    <phoneticPr fontId="21"/>
  </si>
  <si>
    <t>LR1 
エネルギー</t>
    <phoneticPr fontId="21"/>
  </si>
  <si>
    <t>㎡</t>
    <phoneticPr fontId="34" type="noConversion"/>
  </si>
  <si>
    <t>Q1</t>
    <phoneticPr fontId="21"/>
  </si>
  <si>
    <t>㎡</t>
    <phoneticPr fontId="34" type="noConversion"/>
  </si>
  <si>
    <r>
      <t>BEE</t>
    </r>
    <r>
      <rPr>
        <sz val="11"/>
        <rFont val="ＭＳ Ｐゴシック"/>
        <family val="3"/>
        <charset val="128"/>
      </rPr>
      <t>グラフ</t>
    </r>
    <phoneticPr fontId="21"/>
  </si>
  <si>
    <t>BEE</t>
    <phoneticPr fontId="21"/>
  </si>
  <si>
    <t>X</t>
    <phoneticPr fontId="21"/>
  </si>
  <si>
    <t>S</t>
    <phoneticPr fontId="21"/>
  </si>
  <si>
    <t>A</t>
    <phoneticPr fontId="21"/>
  </si>
  <si>
    <t>B+</t>
    <phoneticPr fontId="21"/>
  </si>
  <si>
    <t>B</t>
    <phoneticPr fontId="21"/>
  </si>
  <si>
    <t>B-</t>
    <phoneticPr fontId="21"/>
  </si>
  <si>
    <t>Rank(green star)</t>
    <phoneticPr fontId="21"/>
  </si>
  <si>
    <t xml:space="preserve"> ④上記+
　オフサイト手法</t>
    <phoneticPr fontId="21"/>
  </si>
  <si>
    <t>RC造</t>
    <rPh sb="2" eb="3">
      <t>ゾウ</t>
    </rPh>
    <phoneticPr fontId="21"/>
  </si>
  <si>
    <t>S造</t>
    <rPh sb="1" eb="2">
      <t>ゾウ</t>
    </rPh>
    <phoneticPr fontId="21"/>
  </si>
  <si>
    <t>SRC造</t>
    <rPh sb="3" eb="4">
      <t>ゾウ</t>
    </rPh>
    <phoneticPr fontId="21"/>
  </si>
  <si>
    <t>木造</t>
    <rPh sb="0" eb="2">
      <t>モクゾウ</t>
    </rPh>
    <phoneticPr fontId="21"/>
  </si>
  <si>
    <t>人（想定値）</t>
    <rPh sb="0" eb="1">
      <t>ニン</t>
    </rPh>
    <rPh sb="2" eb="4">
      <t>ソウテイ</t>
    </rPh>
    <rPh sb="4" eb="5">
      <t>アタイ</t>
    </rPh>
    <phoneticPr fontId="21"/>
  </si>
  <si>
    <t>時間/年（想定値）</t>
    <rPh sb="0" eb="2">
      <t>ジカン</t>
    </rPh>
    <rPh sb="3" eb="4">
      <t>ネン</t>
    </rPh>
    <phoneticPr fontId="21"/>
  </si>
  <si>
    <t>② 評価の実施</t>
    <rPh sb="2" eb="4">
      <t>ヒョウカ</t>
    </rPh>
    <rPh sb="5" eb="7">
      <t>ジッシ</t>
    </rPh>
    <phoneticPr fontId="21"/>
  </si>
  <si>
    <t>既存</t>
    <rPh sb="0" eb="2">
      <t>キソン</t>
    </rPh>
    <phoneticPr fontId="21"/>
  </si>
  <si>
    <t>新築</t>
    <rPh sb="0" eb="2">
      <t>シンチク</t>
    </rPh>
    <phoneticPr fontId="21"/>
  </si>
  <si>
    <t>既存学校版</t>
    <rPh sb="0" eb="2">
      <t>キソン</t>
    </rPh>
    <rPh sb="2" eb="4">
      <t>ガッコウ</t>
    </rPh>
    <rPh sb="4" eb="5">
      <t>バン</t>
    </rPh>
    <phoneticPr fontId="21"/>
  </si>
  <si>
    <r>
      <t xml:space="preserve">■ </t>
    </r>
    <r>
      <rPr>
        <sz val="10"/>
        <rFont val="ＭＳ Ｐゴシック"/>
        <family val="3"/>
        <charset val="128"/>
      </rPr>
      <t>評価の実施</t>
    </r>
    <rPh sb="2" eb="4">
      <t>ヒョウカ</t>
    </rPh>
    <rPh sb="5" eb="7">
      <t>ジッシ</t>
    </rPh>
    <phoneticPr fontId="21"/>
  </si>
  <si>
    <t>実施設計段階</t>
    <rPh sb="0" eb="2">
      <t>ジッシ</t>
    </rPh>
    <rPh sb="2" eb="4">
      <t>セッケイ</t>
    </rPh>
    <rPh sb="4" eb="6">
      <t>ダンカイ</t>
    </rPh>
    <phoneticPr fontId="21"/>
  </si>
  <si>
    <t>基本設計段階</t>
    <rPh sb="0" eb="2">
      <t>キホン</t>
    </rPh>
    <rPh sb="2" eb="4">
      <t>セッケイ</t>
    </rPh>
    <rPh sb="4" eb="6">
      <t>ダンカイ</t>
    </rPh>
    <phoneticPr fontId="21"/>
  </si>
  <si>
    <t>躯体材料の耐用年数</t>
    <rPh sb="0" eb="2">
      <t>クタイ</t>
    </rPh>
    <rPh sb="2" eb="4">
      <t>ザイリョウ</t>
    </rPh>
    <rPh sb="5" eb="7">
      <t>タイヨウ</t>
    </rPh>
    <rPh sb="7" eb="9">
      <t>ネンスウ</t>
    </rPh>
    <phoneticPr fontId="21"/>
  </si>
  <si>
    <t>外壁仕上げ材の補修必要間隔</t>
    <rPh sb="0" eb="2">
      <t>ガイヘキ</t>
    </rPh>
    <rPh sb="2" eb="4">
      <t>シア</t>
    </rPh>
    <rPh sb="5" eb="6">
      <t>ザイ</t>
    </rPh>
    <rPh sb="7" eb="9">
      <t>ホシュウ</t>
    </rPh>
    <rPh sb="9" eb="11">
      <t>ヒツヨウ</t>
    </rPh>
    <rPh sb="11" eb="13">
      <t>カンカク</t>
    </rPh>
    <phoneticPr fontId="21"/>
  </si>
  <si>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1"/>
  </si>
  <si>
    <t>空調換気ダクトの更新必要間隔</t>
    <rPh sb="0" eb="2">
      <t>クウチョウ</t>
    </rPh>
    <rPh sb="2" eb="4">
      <t>カンキ</t>
    </rPh>
    <rPh sb="8" eb="10">
      <t>コウシン</t>
    </rPh>
    <rPh sb="10" eb="12">
      <t>ヒツヨウ</t>
    </rPh>
    <rPh sb="12" eb="14">
      <t>カンカク</t>
    </rPh>
    <phoneticPr fontId="21"/>
  </si>
  <si>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1"/>
  </si>
  <si>
    <t>主要設備機器の更新必要間隔</t>
    <rPh sb="0" eb="2">
      <t>シュヨウ</t>
    </rPh>
    <rPh sb="2" eb="4">
      <t>セツビ</t>
    </rPh>
    <rPh sb="4" eb="6">
      <t>キキ</t>
    </rPh>
    <rPh sb="7" eb="9">
      <t>コウシン</t>
    </rPh>
    <rPh sb="9" eb="11">
      <t>ヒツヨウ</t>
    </rPh>
    <rPh sb="11" eb="13">
      <t>カンカク</t>
    </rPh>
    <phoneticPr fontId="21"/>
  </si>
  <si>
    <t>適切な更新</t>
    <rPh sb="0" eb="2">
      <t>テキセツ</t>
    </rPh>
    <rPh sb="3" eb="5">
      <t>コウシン</t>
    </rPh>
    <phoneticPr fontId="21"/>
  </si>
  <si>
    <t>(b)グリーン熱証書によるカーボンオフセット</t>
    <phoneticPr fontId="21"/>
  </si>
  <si>
    <t>（ｃ）その他カーボンクレジット</t>
    <phoneticPr fontId="21"/>
  </si>
  <si>
    <t>(d)調整後排出量（調整後排出係数による）と実排出量の差</t>
    <phoneticPr fontId="21"/>
  </si>
  <si>
    <t>○○による</t>
    <phoneticPr fontId="21"/>
  </si>
  <si>
    <t>○○</t>
    <phoneticPr fontId="21"/>
  </si>
  <si>
    <t>○○</t>
    <phoneticPr fontId="21"/>
  </si>
  <si>
    <t>○○</t>
    <phoneticPr fontId="21"/>
  </si>
  <si>
    <t>合計</t>
    <phoneticPr fontId="21"/>
  </si>
  <si>
    <t>kWh/年</t>
    <phoneticPr fontId="21"/>
  </si>
  <si>
    <t>自家消費分</t>
    <phoneticPr fontId="21"/>
  </si>
  <si>
    <t>kWh/年</t>
    <phoneticPr fontId="21"/>
  </si>
  <si>
    <t>段階</t>
    <phoneticPr fontId="21"/>
  </si>
  <si>
    <t>余剰売電分</t>
    <phoneticPr fontId="21"/>
  </si>
  <si>
    <t>水平方向から見て光源が露出しグレアを制限していない器具。G3分類の器具。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</si>
  <si>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1"/>
  </si>
  <si>
    <t>CFC-12</t>
    <phoneticPr fontId="21"/>
  </si>
  <si>
    <t>HCFC-142b</t>
    <phoneticPr fontId="21"/>
  </si>
  <si>
    <t>フェノールフォーム</t>
    <phoneticPr fontId="21"/>
  </si>
  <si>
    <t>CFC-113</t>
    <phoneticPr fontId="21"/>
  </si>
  <si>
    <r>
      <t>メチクロ（ジクロロメタン） CH</t>
    </r>
    <r>
      <rPr>
        <vertAlign val="subscript"/>
        <sz val="9"/>
        <rFont val="ＭＳ Ｐゴシック"/>
        <family val="3"/>
        <charset val="128"/>
      </rPr>
      <t>2</t>
    </r>
    <r>
      <rPr>
        <sz val="9"/>
        <rFont val="ＭＳ Ｐゴシック"/>
        <family val="3"/>
        <charset val="128"/>
      </rPr>
      <t>Cl</t>
    </r>
    <r>
      <rPr>
        <vertAlign val="subscript"/>
        <sz val="9"/>
        <rFont val="ＭＳ Ｐゴシック"/>
        <family val="3"/>
        <charset val="128"/>
      </rPr>
      <t>2</t>
    </r>
    <phoneticPr fontId="21"/>
  </si>
  <si>
    <t>ODP（CFC基準）</t>
    <phoneticPr fontId="21"/>
  </si>
  <si>
    <t>レベル１（フロン）</t>
    <phoneticPr fontId="21"/>
  </si>
  <si>
    <t>レベル２（フロン）</t>
    <phoneticPr fontId="21"/>
  </si>
  <si>
    <t>0.02～0.06</t>
    <phoneticPr fontId="21"/>
  </si>
  <si>
    <t>レベル３</t>
    <phoneticPr fontId="21"/>
  </si>
  <si>
    <t>評価する取組みがない。</t>
  </si>
  <si>
    <t>講堂・礼拝堂</t>
    <rPh sb="0" eb="2">
      <t>コウドウ</t>
    </rPh>
    <rPh sb="3" eb="6">
      <t>レイハイドウ</t>
    </rPh>
    <phoneticPr fontId="21"/>
  </si>
  <si>
    <t>研究室・普通教室</t>
    <rPh sb="0" eb="3">
      <t>ケンキュウシツ</t>
    </rPh>
    <rPh sb="4" eb="6">
      <t>フツウ</t>
    </rPh>
    <rPh sb="6" eb="8">
      <t>キョウシツ</t>
    </rPh>
    <phoneticPr fontId="21"/>
  </si>
  <si>
    <t>廊下</t>
    <rPh sb="0" eb="2">
      <t>ロウカ</t>
    </rPh>
    <phoneticPr fontId="21"/>
  </si>
  <si>
    <t>運用管理体制の計画を行っていない。</t>
    <phoneticPr fontId="21"/>
  </si>
  <si>
    <t>節水の仕組みなし。</t>
    <phoneticPr fontId="21"/>
  </si>
  <si>
    <r>
      <t xml:space="preserve">1.2.1 </t>
    </r>
    <r>
      <rPr>
        <b/>
        <sz val="10"/>
        <rFont val="ＭＳ Ｐゴシック"/>
        <family val="3"/>
        <charset val="128"/>
      </rPr>
      <t>雨水利用システム導入の有無</t>
    </r>
    <phoneticPr fontId="21"/>
  </si>
  <si>
    <t>雨水利用の仕組みなし。</t>
    <phoneticPr fontId="1"/>
  </si>
  <si>
    <t>雨水利用をしている。</t>
    <phoneticPr fontId="1"/>
  </si>
  <si>
    <t>雨水利用によって雨水利用率の20%以上を満たす。</t>
    <phoneticPr fontId="1"/>
  </si>
  <si>
    <t>事・学・物・飲・会・病・ホ・工・住</t>
    <phoneticPr fontId="21"/>
  </si>
  <si>
    <t>(該当するレベルなし)</t>
    <phoneticPr fontId="21"/>
  </si>
  <si>
    <t>(該当するレベルなし)</t>
    <phoneticPr fontId="21"/>
  </si>
  <si>
    <t>Fc=60以上100未満　かつF=490以上</t>
    <phoneticPr fontId="21"/>
  </si>
  <si>
    <t>Fc=100以上　かつF=590以上</t>
    <phoneticPr fontId="21"/>
  </si>
  <si>
    <t>F=355以上　440未満</t>
    <phoneticPr fontId="21"/>
  </si>
  <si>
    <t>F=440以上</t>
    <phoneticPr fontId="21"/>
  </si>
  <si>
    <t>主要構造躯体におけるその他の対策</t>
    <phoneticPr fontId="21"/>
  </si>
  <si>
    <t>節水</t>
    <rPh sb="0" eb="2">
      <t>セッスイ</t>
    </rPh>
    <phoneticPr fontId="21"/>
  </si>
  <si>
    <t>共用部</t>
    <rPh sb="0" eb="2">
      <t>キョウヨウ</t>
    </rPh>
    <rPh sb="2" eb="3">
      <t>ブ</t>
    </rPh>
    <phoneticPr fontId="21"/>
  </si>
  <si>
    <t>広さ感・景観</t>
    <rPh sb="0" eb="1">
      <t>ヒロ</t>
    </rPh>
    <rPh sb="2" eb="3">
      <t>カン</t>
    </rPh>
    <rPh sb="4" eb="6">
      <t>ケイカン</t>
    </rPh>
    <phoneticPr fontId="21"/>
  </si>
  <si>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</si>
  <si>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</si>
  <si>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</si>
  <si>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</si>
  <si>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</si>
  <si>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</si>
  <si>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</si>
  <si>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</si>
  <si>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</si>
  <si>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</si>
  <si>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</si>
  <si>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</si>
  <si>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</si>
  <si>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②敷地周辺の地形建物緑地等の現況と計画建物に対して流体数値シミュレーション等を行って影響を予測している場合(2ポイント)</t>
  </si>
  <si>
    <t>対象外</t>
  </si>
  <si>
    <r>
      <t xml:space="preserve">2.3.4 </t>
    </r>
    <r>
      <rPr>
        <b/>
        <sz val="10"/>
        <rFont val="ＭＳ Ｐゴシック"/>
        <family val="3"/>
        <charset val="128"/>
      </rPr>
      <t>廃棄物処理負荷抑制</t>
    </r>
    <rPh sb="13" eb="15">
      <t>ヨクセイ</t>
    </rPh>
    <phoneticPr fontId="21"/>
  </si>
  <si>
    <t>既存は住の基準あり</t>
    <rPh sb="0" eb="2">
      <t>キソン</t>
    </rPh>
    <rPh sb="3" eb="4">
      <t>ジュウ</t>
    </rPh>
    <rPh sb="5" eb="7">
      <t>キジュン</t>
    </rPh>
    <phoneticPr fontId="21"/>
  </si>
  <si>
    <t>評価する取組み表の評価ポイントの合計値が2ポイント</t>
  </si>
  <si>
    <t>評価する取組み表の評価ポイントの合計値が3ポイント</t>
  </si>
  <si>
    <t>評価する取組み表の評価ポイントの合計値が4ポイント以上</t>
    <rPh sb="25" eb="27">
      <t>イジョウ</t>
    </rPh>
    <phoneticPr fontId="21"/>
  </si>
  <si>
    <t>2)室内および室外にゴミの多種分別回収が可能なストックスペースを計画している場合</t>
  </si>
  <si>
    <t>3)室内や室外にゴミの分別回収容器・ボックスの設置を計画している場合</t>
  </si>
  <si>
    <t>4)有価物の計画的な回収を計画している場合（集団回収など）</t>
  </si>
  <si>
    <t>新築なし</t>
    <rPh sb="0" eb="2">
      <t>シンチク</t>
    </rPh>
    <phoneticPr fontId="21"/>
  </si>
  <si>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1"/>
  </si>
  <si>
    <t>6)ビン・缶類などの減容化・減量化対策を計画している場合</t>
  </si>
  <si>
    <t>騒音・振動・悪臭の防止</t>
    <rPh sb="0" eb="2">
      <t>ソウオン</t>
    </rPh>
    <rPh sb="3" eb="5">
      <t>シンドウ</t>
    </rPh>
    <rPh sb="6" eb="8">
      <t>アクシュウ</t>
    </rPh>
    <rPh sb="9" eb="11">
      <t>ボウシ</t>
    </rPh>
    <phoneticPr fontId="21"/>
  </si>
  <si>
    <r>
      <t xml:space="preserve">3.1.1 </t>
    </r>
    <r>
      <rPr>
        <b/>
        <sz val="10"/>
        <rFont val="ＭＳ Ｐゴシック"/>
        <family val="3"/>
        <charset val="128"/>
      </rPr>
      <t>騒音</t>
    </r>
    <rPh sb="6" eb="8">
      <t>ソウオン</t>
    </rPh>
    <phoneticPr fontId="21"/>
  </si>
  <si>
    <t>規制対象建物以外の場合</t>
    <rPh sb="0" eb="2">
      <t>キセイ</t>
    </rPh>
    <rPh sb="2" eb="4">
      <t>タイショウ</t>
    </rPh>
    <rPh sb="4" eb="6">
      <t>タテモノ</t>
    </rPh>
    <rPh sb="6" eb="8">
      <t>イガイ</t>
    </rPh>
    <rPh sb="9" eb="11">
      <t>バアイ</t>
    </rPh>
    <phoneticPr fontId="21"/>
  </si>
  <si>
    <t>騒音に関する規制基準値</t>
    <rPh sb="0" eb="2">
      <t>ソウオン</t>
    </rPh>
    <rPh sb="3" eb="4">
      <t>カン</t>
    </rPh>
    <rPh sb="6" eb="8">
      <t>キセイ</t>
    </rPh>
    <rPh sb="8" eb="11">
      <t>キジュンチ</t>
    </rPh>
    <phoneticPr fontId="21"/>
  </si>
  <si>
    <t>第1種区域</t>
    <rPh sb="0" eb="1">
      <t>ダイ</t>
    </rPh>
    <rPh sb="2" eb="3">
      <t>シュ</t>
    </rPh>
    <rPh sb="3" eb="5">
      <t>クイキ</t>
    </rPh>
    <phoneticPr fontId="21"/>
  </si>
  <si>
    <t>第２種区域</t>
    <rPh sb="3" eb="5">
      <t>クイキ</t>
    </rPh>
    <phoneticPr fontId="21"/>
  </si>
  <si>
    <t>　レベル 1</t>
  </si>
  <si>
    <t>レベル３を
満たさない</t>
  </si>
  <si>
    <t>45dB以下</t>
  </si>
  <si>
    <t>40dB以下</t>
  </si>
  <si>
    <t>第３種区域</t>
    <rPh sb="0" eb="1">
      <t>ダイ</t>
    </rPh>
    <rPh sb="2" eb="3">
      <t>シュ</t>
    </rPh>
    <rPh sb="3" eb="5">
      <t>クイキ</t>
    </rPh>
    <phoneticPr fontId="21"/>
  </si>
  <si>
    <t>第４種区域</t>
    <rPh sb="0" eb="1">
      <t>ダイ</t>
    </rPh>
    <rPh sb="2" eb="3">
      <t>シュ</t>
    </rPh>
    <rPh sb="3" eb="5">
      <t>クイキ</t>
    </rPh>
    <phoneticPr fontId="21"/>
  </si>
  <si>
    <t>強風域の発生などについての事前調査や風害抑制対策を行っていない。</t>
  </si>
  <si>
    <t>光・視環境</t>
    <rPh sb="0" eb="1">
      <t>ヒカリ</t>
    </rPh>
    <rPh sb="2" eb="3">
      <t>シ</t>
    </rPh>
    <rPh sb="3" eb="5">
      <t>カンキョウ</t>
    </rPh>
    <phoneticPr fontId="21"/>
  </si>
  <si>
    <t>昼光利用</t>
    <rPh sb="0" eb="1">
      <t>ヒル</t>
    </rPh>
    <rPh sb="1" eb="2">
      <t>ヒカリ</t>
    </rPh>
    <rPh sb="2" eb="4">
      <t>リヨウ</t>
    </rPh>
    <phoneticPr fontId="21"/>
  </si>
  <si>
    <r>
      <t xml:space="preserve">3.1.1 </t>
    </r>
    <r>
      <rPr>
        <b/>
        <sz val="10"/>
        <rFont val="ＭＳ Ｐゴシック"/>
        <family val="3"/>
        <charset val="128"/>
      </rPr>
      <t>昼光率</t>
    </r>
    <rPh sb="6" eb="7">
      <t>ヒル</t>
    </rPh>
    <rPh sb="7" eb="8">
      <t>ヒカリ</t>
    </rPh>
    <rPh sb="8" eb="9">
      <t>リツ</t>
    </rPh>
    <phoneticPr fontId="21"/>
  </si>
  <si>
    <t>事・学・病・ホ・工・住</t>
    <rPh sb="10" eb="11">
      <t>ジュウ</t>
    </rPh>
    <phoneticPr fontId="21"/>
  </si>
  <si>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</si>
  <si>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</si>
  <si>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</si>
  <si>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</si>
  <si>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</si>
  <si>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</si>
  <si>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</si>
  <si>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</si>
  <si>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1"/>
  </si>
  <si>
    <t>南面に窓がない。</t>
  </si>
  <si>
    <t>南面に窓がある。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</si>
  <si>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1"/>
  </si>
  <si>
    <t>事・学・工</t>
    <rPh sb="4" eb="5">
      <t>コウ</t>
    </rPh>
    <phoneticPr fontId="21"/>
  </si>
  <si>
    <t>病・ホ・住</t>
    <rPh sb="4" eb="5">
      <t>ジュウ</t>
    </rPh>
    <phoneticPr fontId="21"/>
  </si>
  <si>
    <t>昼光利用設備がない。</t>
  </si>
  <si>
    <t>昼光利用設備が１種類ある。</t>
  </si>
  <si>
    <t>グレア対策</t>
    <rPh sb="3" eb="5">
      <t>タイサク</t>
    </rPh>
    <phoneticPr fontId="21"/>
  </si>
  <si>
    <r>
      <t xml:space="preserve">3.2.1 </t>
    </r>
    <r>
      <rPr>
        <b/>
        <sz val="10"/>
        <rFont val="ＭＳ Ｐゴシック"/>
        <family val="3"/>
        <charset val="128"/>
      </rPr>
      <t>照明器具のグレア</t>
    </r>
    <rPh sb="6" eb="8">
      <t>ショウメイ</t>
    </rPh>
    <rPh sb="8" eb="10">
      <t>キグ</t>
    </rPh>
    <phoneticPr fontId="21"/>
  </si>
  <si>
    <t>教室の天井高がおおむね2.7mである。</t>
    <rPh sb="0" eb="2">
      <t>キョウシツ</t>
    </rPh>
    <rPh sb="3" eb="5">
      <t>テンジョウ</t>
    </rPh>
    <rPh sb="5" eb="6">
      <t>ダカ</t>
    </rPh>
    <phoneticPr fontId="21"/>
  </si>
  <si>
    <t>教室の天井高が2.7mを超えている。</t>
    <rPh sb="0" eb="2">
      <t>キョウシツ</t>
    </rPh>
    <rPh sb="3" eb="5">
      <t>テンジョウ</t>
    </rPh>
    <rPh sb="5" eb="6">
      <t>ダカ</t>
    </rPh>
    <rPh sb="12" eb="13">
      <t>コ</t>
    </rPh>
    <phoneticPr fontId="21"/>
  </si>
  <si>
    <r>
      <t xml:space="preserve">2.1.1 </t>
    </r>
    <r>
      <rPr>
        <b/>
        <sz val="10"/>
        <rFont val="ＭＳ Ｐゴシック"/>
        <family val="3"/>
        <charset val="128"/>
      </rPr>
      <t>室温</t>
    </r>
    <rPh sb="6" eb="8">
      <t>シツオン</t>
    </rPh>
    <phoneticPr fontId="21"/>
  </si>
  <si>
    <t>室温</t>
    <rPh sb="0" eb="2">
      <t>シツオン</t>
    </rPh>
    <phoneticPr fontId="21"/>
  </si>
  <si>
    <t>室温</t>
    <phoneticPr fontId="21"/>
  </si>
  <si>
    <t>事・学・物・会・ホ</t>
    <rPh sb="0" eb="1">
      <t>コト</t>
    </rPh>
    <rPh sb="2" eb="3">
      <t>ガク</t>
    </rPh>
    <rPh sb="4" eb="5">
      <t>モノ</t>
    </rPh>
    <rPh sb="6" eb="7">
      <t>カイ</t>
    </rPh>
    <phoneticPr fontId="21"/>
  </si>
  <si>
    <t>3つの設備管理業務の取り組みポイントが 0点</t>
    <rPh sb="3" eb="5">
      <t>セツビ</t>
    </rPh>
    <rPh sb="5" eb="7">
      <t>カンリ</t>
    </rPh>
    <rPh sb="7" eb="9">
      <t>ギョウム</t>
    </rPh>
    <rPh sb="10" eb="11">
      <t>ト</t>
    </rPh>
    <rPh sb="12" eb="13">
      <t>ク</t>
    </rPh>
    <rPh sb="21" eb="22">
      <t>テン</t>
    </rPh>
    <phoneticPr fontId="21"/>
  </si>
  <si>
    <t>3つの設備管理業務の取り組みポイントが 1～2点</t>
    <rPh sb="3" eb="5">
      <t>セツビ</t>
    </rPh>
    <rPh sb="5" eb="7">
      <t>カンリ</t>
    </rPh>
    <rPh sb="7" eb="9">
      <t>ギョウム</t>
    </rPh>
    <rPh sb="10" eb="11">
      <t>ト</t>
    </rPh>
    <rPh sb="12" eb="13">
      <t>ク</t>
    </rPh>
    <rPh sb="23" eb="24">
      <t>テン</t>
    </rPh>
    <phoneticPr fontId="21"/>
  </si>
  <si>
    <t>3つの設備管理業務の取り組みポイントが 3点</t>
    <rPh sb="3" eb="5">
      <t>セツビ</t>
    </rPh>
    <rPh sb="5" eb="7">
      <t>カンリ</t>
    </rPh>
    <rPh sb="7" eb="9">
      <t>ギョウム</t>
    </rPh>
    <rPh sb="10" eb="11">
      <t>ト</t>
    </rPh>
    <rPh sb="12" eb="13">
      <t>ク</t>
    </rPh>
    <rPh sb="21" eb="22">
      <t>テン</t>
    </rPh>
    <phoneticPr fontId="21"/>
  </si>
  <si>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</si>
  <si>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1"/>
  </si>
  <si>
    <t>Ⅱ ねずみ等の点検・防除の評価</t>
    <rPh sb="5" eb="6">
      <t>トウ</t>
    </rPh>
    <rPh sb="7" eb="9">
      <t>テンケン</t>
    </rPh>
    <rPh sb="10" eb="12">
      <t>ボウジョ</t>
    </rPh>
    <rPh sb="13" eb="15">
      <t>ヒョウカ</t>
    </rPh>
    <phoneticPr fontId="21"/>
  </si>
  <si>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1"/>
  </si>
  <si>
    <t>建物全体・共用部</t>
    <rPh sb="0" eb="2">
      <t>タテモノ</t>
    </rPh>
    <rPh sb="2" eb="4">
      <t>ゼンタイ</t>
    </rPh>
    <rPh sb="5" eb="7">
      <t>キョウヨウ</t>
    </rPh>
    <rPh sb="7" eb="8">
      <t>ブ</t>
    </rPh>
    <phoneticPr fontId="21"/>
  </si>
  <si>
    <t>小中高</t>
    <rPh sb="0" eb="3">
      <t>ショウチュウコウ</t>
    </rPh>
    <phoneticPr fontId="21"/>
  </si>
  <si>
    <t>住居・宿泊部</t>
    <rPh sb="0" eb="2">
      <t>ジュウキョ</t>
    </rPh>
    <rPh sb="3" eb="5">
      <t>シュクハク</t>
    </rPh>
    <rPh sb="5" eb="6">
      <t>ブ</t>
    </rPh>
    <phoneticPr fontId="21"/>
  </si>
  <si>
    <t>全体・共有</t>
    <rPh sb="0" eb="2">
      <t>ゼンタイ</t>
    </rPh>
    <rPh sb="3" eb="5">
      <t>キョウユウ</t>
    </rPh>
    <phoneticPr fontId="21"/>
  </si>
  <si>
    <t>住居・宿泊</t>
    <rPh sb="0" eb="2">
      <t>ジュウキョ</t>
    </rPh>
    <rPh sb="3" eb="5">
      <t>シュクハク</t>
    </rPh>
    <phoneticPr fontId="21"/>
  </si>
  <si>
    <t>項目名</t>
    <rPh sb="0" eb="2">
      <t>コウモク</t>
    </rPh>
    <rPh sb="2" eb="3">
      <t>メイ</t>
    </rPh>
    <phoneticPr fontId="21"/>
  </si>
  <si>
    <t>延面積</t>
    <rPh sb="0" eb="1">
      <t>ノ</t>
    </rPh>
    <rPh sb="1" eb="3">
      <t>メンセキ</t>
    </rPh>
    <phoneticPr fontId="21"/>
  </si>
  <si>
    <t>延面積比率</t>
    <rPh sb="0" eb="1">
      <t>ノ</t>
    </rPh>
    <rPh sb="1" eb="3">
      <t>メンセキ</t>
    </rPh>
    <rPh sb="3" eb="5">
      <t>ヒリツ</t>
    </rPh>
    <phoneticPr fontId="21"/>
  </si>
  <si>
    <r>
      <t>Q-1</t>
    </r>
    <r>
      <rPr>
        <sz val="11"/>
        <rFont val="ＭＳ Ｐゴシック"/>
        <family val="3"/>
        <charset val="128"/>
      </rPr>
      <t>　室内環境</t>
    </r>
    <rPh sb="4" eb="6">
      <t>シツナイ</t>
    </rPh>
    <rPh sb="6" eb="8">
      <t>カンキョウ</t>
    </rPh>
    <phoneticPr fontId="21"/>
  </si>
  <si>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1"/>
  </si>
  <si>
    <t>音環境</t>
  </si>
  <si>
    <t>機能性</t>
    <rPh sb="0" eb="3">
      <t>キノウセイ</t>
    </rPh>
    <phoneticPr fontId="21"/>
  </si>
  <si>
    <t>生物資源</t>
    <rPh sb="0" eb="2">
      <t>セイブツ</t>
    </rPh>
    <rPh sb="2" eb="4">
      <t>シゲン</t>
    </rPh>
    <phoneticPr fontId="21"/>
  </si>
  <si>
    <t>温熱環境</t>
  </si>
  <si>
    <t>耐用性・信頼性</t>
    <rPh sb="1" eb="2">
      <t>ヨウ</t>
    </rPh>
    <rPh sb="4" eb="7">
      <t>シンライセイ</t>
    </rPh>
    <phoneticPr fontId="21"/>
  </si>
  <si>
    <t>光・視環境</t>
  </si>
  <si>
    <t>対応性･更新性</t>
    <rPh sb="0" eb="3">
      <t>タイオウセイ</t>
    </rPh>
    <rPh sb="4" eb="6">
      <t>コウシン</t>
    </rPh>
    <rPh sb="6" eb="7">
      <t>セイ</t>
    </rPh>
    <phoneticPr fontId="21"/>
  </si>
  <si>
    <t>建築物の環境品質</t>
    <rPh sb="0" eb="3">
      <t>ケンチクブツ</t>
    </rPh>
    <rPh sb="4" eb="6">
      <t>カンキョウ</t>
    </rPh>
    <rPh sb="6" eb="8">
      <t>ヒンシツ</t>
    </rPh>
    <phoneticPr fontId="21"/>
  </si>
  <si>
    <t>住居宿泊・共用部面積比率</t>
    <rPh sb="0" eb="2">
      <t>ジュウキョ</t>
    </rPh>
    <rPh sb="2" eb="4">
      <t>シュクハク</t>
    </rPh>
    <rPh sb="5" eb="7">
      <t>キョウヨウ</t>
    </rPh>
    <rPh sb="7" eb="8">
      <t>ブ</t>
    </rPh>
    <rPh sb="8" eb="10">
      <t>メンセキ</t>
    </rPh>
    <rPh sb="10" eb="12">
      <t>ヒリツ</t>
    </rPh>
    <phoneticPr fontId="21"/>
  </si>
  <si>
    <t xml:space="preserve"> Q</t>
  </si>
  <si>
    <t xml:space="preserve"> Q1</t>
  </si>
  <si>
    <t xml:space="preserve"> Q1 1</t>
  </si>
  <si>
    <t>1.1.1</t>
  </si>
  <si>
    <t xml:space="preserve"> Q1 1.1</t>
  </si>
  <si>
    <t>室内騒音レベル</t>
    <rPh sb="0" eb="2">
      <t>シツナイ</t>
    </rPh>
    <rPh sb="2" eb="4">
      <t>ソウオン</t>
    </rPh>
    <phoneticPr fontId="21"/>
  </si>
  <si>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</si>
  <si>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</si>
  <si>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</si>
  <si>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</si>
  <si>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1"/>
  </si>
  <si>
    <t>削減率　％</t>
    <rPh sb="0" eb="2">
      <t>サクゲン</t>
    </rPh>
    <rPh sb="2" eb="3">
      <t>リツ</t>
    </rPh>
    <phoneticPr fontId="21"/>
  </si>
  <si>
    <t>%</t>
    <phoneticPr fontId="21"/>
  </si>
  <si>
    <t>運用エネルギー消費量</t>
    <rPh sb="0" eb="2">
      <t>ｳﾝﾖｳ</t>
    </rPh>
    <rPh sb="7" eb="10">
      <t>ｼｮｳﾋﾘｮｳ</t>
    </rPh>
    <phoneticPr fontId="34" type="noConversion"/>
  </si>
  <si>
    <r>
      <t>ＭＪ</t>
    </r>
    <r>
      <rPr>
        <sz val="10"/>
        <rFont val="Arial"/>
        <family val="2"/>
      </rPr>
      <t>/</t>
    </r>
    <r>
      <rPr>
        <sz val="10"/>
        <rFont val="ＭＳ Ｐゴシック"/>
        <family val="3"/>
        <charset val="128"/>
      </rPr>
      <t>年㎡</t>
    </r>
    <rPh sb="3" eb="4">
      <t>ネン</t>
    </rPh>
    <phoneticPr fontId="21"/>
  </si>
  <si>
    <r>
      <t>ＭＪ</t>
    </r>
    <r>
      <rPr>
        <sz val="10"/>
        <rFont val="Arial"/>
        <family val="2"/>
      </rPr>
      <t>/</t>
    </r>
    <r>
      <rPr>
        <sz val="10"/>
        <rFont val="ＭＳ Ｐゴシック"/>
        <family val="3"/>
        <charset val="128"/>
      </rPr>
      <t>人時</t>
    </r>
    <rPh sb="3" eb="4">
      <t>ニン</t>
    </rPh>
    <rPh sb="4" eb="5">
      <t>ジ</t>
    </rPh>
    <phoneticPr fontId="21"/>
  </si>
  <si>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4"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</si>
  <si>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1"/>
  </si>
  <si>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1"/>
  </si>
  <si>
    <t>水消費量</t>
    <rPh sb="0" eb="1">
      <t>ﾐｽﾞ</t>
    </rPh>
    <rPh sb="1" eb="4">
      <t>ｼｮｳﾋﾘｮｳ</t>
    </rPh>
    <phoneticPr fontId="34"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</si>
  <si>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1"/>
  </si>
  <si>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1"/>
  </si>
  <si>
    <r>
      <t>LCCO</t>
    </r>
    <r>
      <rPr>
        <vertAlign val="subscript"/>
        <sz val="10"/>
        <rFont val="Arial"/>
        <family val="2"/>
      </rPr>
      <t>2</t>
    </r>
    <r>
      <rPr>
        <sz val="10"/>
        <rFont val="ＭＳ Ｐゴシック"/>
        <family val="3"/>
        <charset val="128"/>
      </rPr>
      <t>排出量</t>
    </r>
    <rPh sb="5" eb="7">
      <t>ハイシュツ</t>
    </rPh>
    <rPh sb="7" eb="8">
      <t>リョウ</t>
    </rPh>
    <phoneticPr fontId="21"/>
  </si>
  <si>
    <r>
      <t>LC</t>
    </r>
    <r>
      <rPr>
        <sz val="10"/>
        <rFont val="ＭＳ Ｐゴシック"/>
        <family val="3"/>
        <charset val="128"/>
      </rPr>
      <t>廃棄物量</t>
    </r>
    <rPh sb="2" eb="5">
      <t>ハイキブツ</t>
    </rPh>
    <rPh sb="5" eb="6">
      <t>リョウ</t>
    </rPh>
    <phoneticPr fontId="21"/>
  </si>
  <si>
    <r>
      <t>ｔ</t>
    </r>
    <r>
      <rPr>
        <sz val="10"/>
        <rFont val="Arial"/>
        <family val="2"/>
      </rPr>
      <t>/</t>
    </r>
    <r>
      <rPr>
        <sz val="10"/>
        <rFont val="ＭＳ Ｐゴシック"/>
        <family val="3"/>
        <charset val="128"/>
      </rPr>
      <t>年㎡</t>
    </r>
    <rPh sb="2" eb="3">
      <t>ネン</t>
    </rPh>
    <phoneticPr fontId="21"/>
  </si>
  <si>
    <r>
      <t>ｔ</t>
    </r>
    <r>
      <rPr>
        <sz val="10"/>
        <rFont val="Arial"/>
        <family val="2"/>
      </rPr>
      <t>/</t>
    </r>
    <r>
      <rPr>
        <sz val="10"/>
        <rFont val="ＭＳ Ｐゴシック"/>
        <family val="3"/>
        <charset val="128"/>
      </rPr>
      <t>人時</t>
    </r>
    <rPh sb="2" eb="3">
      <t>ニン</t>
    </rPh>
    <rPh sb="3" eb="4">
      <t>ジ</t>
    </rPh>
    <phoneticPr fontId="21"/>
  </si>
  <si>
    <r>
      <t>LC</t>
    </r>
    <r>
      <rPr>
        <sz val="10"/>
        <rFont val="ＭＳ Ｐゴシック"/>
        <family val="3"/>
        <charset val="128"/>
      </rPr>
      <t>資源消費量</t>
    </r>
    <rPh sb="2" eb="4">
      <t>シゲン</t>
    </rPh>
    <rPh sb="4" eb="6">
      <t>ショウヒ</t>
    </rPh>
    <rPh sb="6" eb="7">
      <t>リョウ</t>
    </rPh>
    <phoneticPr fontId="21"/>
  </si>
  <si>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4" type="noConversion"/>
  </si>
  <si>
    <t>設計段階</t>
    <rPh sb="0" eb="2">
      <t>ｾｯｹｲ</t>
    </rPh>
    <rPh sb="2" eb="4">
      <t>ﾀﾞﾝｶｲ</t>
    </rPh>
    <phoneticPr fontId="34" type="noConversion"/>
  </si>
  <si>
    <t>建設段階</t>
    <rPh sb="0" eb="2">
      <t>ｹﾝｾﾂ</t>
    </rPh>
    <rPh sb="2" eb="4">
      <t>ﾀﾞﾝｶｲ</t>
    </rPh>
    <phoneticPr fontId="34" type="noConversion"/>
  </si>
  <si>
    <t>有資格者による設計</t>
    <rPh sb="0" eb="4">
      <t>ﾕｳｼｶｸｼｬ</t>
    </rPh>
    <rPh sb="7" eb="9">
      <t>ｾｯｹｲ</t>
    </rPh>
    <phoneticPr fontId="34" type="noConversion"/>
  </si>
  <si>
    <t>環境管理計画</t>
    <rPh sb="0" eb="2">
      <t>ｶﾝｷｮｳ</t>
    </rPh>
    <rPh sb="2" eb="4">
      <t>ｶﾝﾘ</t>
    </rPh>
    <rPh sb="4" eb="6">
      <t>ｹｲｶｸ</t>
    </rPh>
    <phoneticPr fontId="34" type="noConversion"/>
  </si>
  <si>
    <r>
      <t>凡例　　　　　</t>
    </r>
    <r>
      <rPr>
        <sz val="8"/>
        <color indexed="10"/>
        <rFont val="Arial"/>
        <family val="2"/>
      </rPr>
      <t>Q</t>
    </r>
    <r>
      <rPr>
        <sz val="8"/>
        <color indexed="10"/>
        <rFont val="ＭＳ Ｐゴシック"/>
        <family val="3"/>
        <charset val="128"/>
      </rPr>
      <t>：</t>
    </r>
    <rPh sb="0" eb="2">
      <t>ハンレイ</t>
    </rPh>
    <phoneticPr fontId="21"/>
  </si>
  <si>
    <t>(該当するレベルなし)</t>
    <phoneticPr fontId="21"/>
  </si>
  <si>
    <t>-</t>
    <phoneticPr fontId="21"/>
  </si>
  <si>
    <t>映り込み対策</t>
    <rPh sb="0" eb="1">
      <t>ウツ</t>
    </rPh>
    <rPh sb="2" eb="3">
      <t>コ</t>
    </rPh>
    <rPh sb="4" eb="6">
      <t>タイサク</t>
    </rPh>
    <phoneticPr fontId="21"/>
  </si>
  <si>
    <t>照度</t>
    <rPh sb="0" eb="2">
      <t>ｼｮｳﾄﾞ</t>
    </rPh>
    <phoneticPr fontId="34" type="noConversion"/>
  </si>
  <si>
    <t>照度</t>
    <rPh sb="0" eb="2">
      <t>ショウド</t>
    </rPh>
    <phoneticPr fontId="21"/>
  </si>
  <si>
    <t>照度均斉度</t>
    <rPh sb="0" eb="2">
      <t>ショウド</t>
    </rPh>
    <rPh sb="2" eb="3">
      <t>タモツ</t>
    </rPh>
    <rPh sb="3" eb="4">
      <t>サイ</t>
    </rPh>
    <rPh sb="4" eb="5">
      <t>タビ</t>
    </rPh>
    <phoneticPr fontId="21"/>
  </si>
  <si>
    <t>照明制御</t>
    <rPh sb="0" eb="2">
      <t>ショウメイ</t>
    </rPh>
    <rPh sb="2" eb="4">
      <t>セイギョ</t>
    </rPh>
    <phoneticPr fontId="21"/>
  </si>
  <si>
    <t>空気質環境</t>
    <rPh sb="0" eb="2">
      <t>クウキ</t>
    </rPh>
    <rPh sb="2" eb="3">
      <t>シツ</t>
    </rPh>
    <rPh sb="3" eb="5">
      <t>カンキョウ</t>
    </rPh>
    <phoneticPr fontId="21"/>
  </si>
  <si>
    <t>発生源対策</t>
    <rPh sb="0" eb="3">
      <t>ﾊｯｾｲｹﾞﾝ</t>
    </rPh>
    <rPh sb="3" eb="5">
      <t>ﾀｲｻｸ</t>
    </rPh>
    <phoneticPr fontId="34" type="noConversion"/>
  </si>
  <si>
    <t>化学汚染物質</t>
    <rPh sb="0" eb="2">
      <t>カガク</t>
    </rPh>
    <rPh sb="4" eb="6">
      <t>ブッシツ</t>
    </rPh>
    <phoneticPr fontId="21"/>
  </si>
  <si>
    <t>アスベスト対策</t>
    <rPh sb="5" eb="7">
      <t>タイサク</t>
    </rPh>
    <phoneticPr fontId="21"/>
  </si>
  <si>
    <t>ダニ・カビ等</t>
    <rPh sb="5" eb="6">
      <t>ナド</t>
    </rPh>
    <phoneticPr fontId="21"/>
  </si>
  <si>
    <t>レジオネラ対策</t>
    <rPh sb="5" eb="7">
      <t>タイサク</t>
    </rPh>
    <phoneticPr fontId="21"/>
  </si>
  <si>
    <t>換気</t>
    <rPh sb="0" eb="2">
      <t>ｶﾝｷ</t>
    </rPh>
    <phoneticPr fontId="34" type="noConversion"/>
  </si>
  <si>
    <t>換気量</t>
    <rPh sb="0" eb="3">
      <t>カンキリョウ</t>
    </rPh>
    <phoneticPr fontId="21"/>
  </si>
  <si>
    <t>廃棄物処理負荷抑制</t>
    <rPh sb="0" eb="3">
      <t>ﾊｲｷﾌﾞﾂ</t>
    </rPh>
    <rPh sb="3" eb="5">
      <t>ｼｮﾘ</t>
    </rPh>
    <rPh sb="5" eb="7">
      <t>ﾌｶ</t>
    </rPh>
    <rPh sb="7" eb="9">
      <t>ﾖｸｾｲ</t>
    </rPh>
    <phoneticPr fontId="34" type="noConversion"/>
  </si>
  <si>
    <t>周辺環境への配慮</t>
    <rPh sb="0" eb="2">
      <t>ｼｭｳﾍﾝ</t>
    </rPh>
    <rPh sb="2" eb="4">
      <t>ｶﾝｷｮｳ</t>
    </rPh>
    <rPh sb="6" eb="8">
      <t>ﾊｲﾘｮ</t>
    </rPh>
    <phoneticPr fontId="34" type="noConversion"/>
  </si>
  <si>
    <t>騒音・振動・悪臭の防止</t>
    <rPh sb="0" eb="2">
      <t>ｿｳｵﾝ</t>
    </rPh>
    <rPh sb="3" eb="5">
      <t>ｼﾝﾄﾞｳ</t>
    </rPh>
    <rPh sb="6" eb="8">
      <t>ｱｸｼｭｳ</t>
    </rPh>
    <rPh sb="9" eb="11">
      <t>ﾎﾞｳｼ</t>
    </rPh>
    <phoneticPr fontId="34" type="noConversion"/>
  </si>
  <si>
    <t>騒音</t>
    <rPh sb="0" eb="2">
      <t>ｿｳｵﾝ</t>
    </rPh>
    <phoneticPr fontId="34" type="noConversion"/>
  </si>
  <si>
    <t>砂塵の抑制</t>
    <rPh sb="0" eb="2">
      <t>ｻｼﾞﾝ</t>
    </rPh>
    <rPh sb="3" eb="5">
      <t>ﾖｸｾｲ</t>
    </rPh>
    <phoneticPr fontId="34" type="noConversion"/>
  </si>
  <si>
    <t>光害の抑制</t>
    <rPh sb="0" eb="2">
      <t>ﾋｶﾘｶﾞｲ</t>
    </rPh>
    <rPh sb="3" eb="5">
      <t>ﾖｸｾｲ</t>
    </rPh>
    <phoneticPr fontId="34"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</si>
  <si>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4"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</si>
  <si>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4"/>
  </si>
  <si>
    <t>出典：</t>
    <rPh sb="0" eb="2">
      <t>シュッテン</t>
    </rPh>
    <phoneticPr fontId="21"/>
  </si>
  <si>
    <t>モニタリング</t>
    <phoneticPr fontId="21"/>
  </si>
  <si>
    <t>定性評価</t>
    <rPh sb="0" eb="2">
      <t>テイセイ</t>
    </rPh>
    <rPh sb="2" eb="4">
      <t>ヒョウカ</t>
    </rPh>
    <phoneticPr fontId="21"/>
  </si>
  <si>
    <t>定量評価</t>
    <rPh sb="0" eb="2">
      <t>テイリョウ</t>
    </rPh>
    <rPh sb="2" eb="4">
      <t>ヒョウカ</t>
    </rPh>
    <phoneticPr fontId="21"/>
  </si>
  <si>
    <t>モニタリング</t>
    <phoneticPr fontId="3"/>
  </si>
  <si>
    <t>運用管理体制</t>
    <rPh sb="0" eb="2">
      <t>ウンヨウ</t>
    </rPh>
    <rPh sb="2" eb="4">
      <t>カンリ</t>
    </rPh>
    <rPh sb="4" eb="6">
      <t>タイセイ</t>
    </rPh>
    <phoneticPr fontId="21"/>
  </si>
  <si>
    <t>運用管理体制</t>
    <rPh sb="0" eb="2">
      <t>うんよう</t>
    </rPh>
    <rPh sb="2" eb="4">
      <t>かんり</t>
    </rPh>
    <rPh sb="4" eb="6">
      <t>たいせい</t>
    </rPh>
    <phoneticPr fontId="34" type="noConversion"/>
  </si>
  <si>
    <t>事・学（大学等）・物・飲・会・病・ホ・工</t>
    <rPh sb="4" eb="6">
      <t>ダイガク</t>
    </rPh>
    <rPh sb="6" eb="7">
      <t>トウ</t>
    </rPh>
    <rPh sb="19" eb="20">
      <t>コウ</t>
    </rPh>
    <phoneticPr fontId="21"/>
  </si>
  <si>
    <t>NO.</t>
    <phoneticPr fontId="21"/>
  </si>
  <si>
    <t>評価する取組み　</t>
    <phoneticPr fontId="21"/>
  </si>
  <si>
    <t>非住宅部分</t>
    <rPh sb="0" eb="1">
      <t>ひ</t>
    </rPh>
    <rPh sb="1" eb="3">
      <t>じゅうたく</t>
    </rPh>
    <rPh sb="3" eb="5">
      <t>ぶぶん</t>
    </rPh>
    <phoneticPr fontId="34" type="noConversion"/>
  </si>
  <si>
    <t>集合住宅以外の評価</t>
    <rPh sb="0" eb="2">
      <t>しゅうごう</t>
    </rPh>
    <rPh sb="2" eb="4">
      <t>じゅうたく</t>
    </rPh>
    <rPh sb="4" eb="6">
      <t>いがい</t>
    </rPh>
    <rPh sb="7" eb="9">
      <t>ひょうか</t>
    </rPh>
    <phoneticPr fontId="34" type="noConversion"/>
  </si>
  <si>
    <t>集合住宅の評価</t>
    <rPh sb="0" eb="2">
      <t>しゅうごう</t>
    </rPh>
    <rPh sb="2" eb="4">
      <t>じゅうたく</t>
    </rPh>
    <rPh sb="5" eb="7">
      <t>ひょうか</t>
    </rPh>
    <phoneticPr fontId="34"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</si>
  <si>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1"/>
  </si>
  <si>
    <t>通信機械室等</t>
    <rPh sb="2" eb="4">
      <t>キカイ</t>
    </rPh>
    <phoneticPr fontId="21"/>
  </si>
  <si>
    <t>危険物施設の計器室</t>
  </si>
  <si>
    <t>美術品展示室等</t>
  </si>
  <si>
    <t>加工・作業室等</t>
  </si>
  <si>
    <t>輪転機が存する印刷室</t>
  </si>
  <si>
    <t>駐車場</t>
    <rPh sb="0" eb="3">
      <t>チュウシャジョウ</t>
    </rPh>
    <phoneticPr fontId="21"/>
  </si>
  <si>
    <t>中央管理方式の空気調和設備が設置されている居室の場合は25㎥/ｈ人以上。中央管理方式でない場合は建築基準法（シックハウス対応含む）および建築物衛生法を満たす換気量となっている。</t>
    <phoneticPr fontId="21"/>
  </si>
  <si>
    <t>＜各レベル間を</t>
    <rPh sb="1" eb="2">
      <t>カク</t>
    </rPh>
    <rPh sb="5" eb="6">
      <t>カン</t>
    </rPh>
    <phoneticPr fontId="21"/>
  </si>
  <si>
    <t>　直線補完し</t>
    <rPh sb="1" eb="3">
      <t>チョクセン</t>
    </rPh>
    <rPh sb="3" eb="5">
      <t>ホカン</t>
    </rPh>
    <phoneticPr fontId="21"/>
  </si>
  <si>
    <t>　小数点を評価＞</t>
    <rPh sb="1" eb="4">
      <t>ショウスウテン</t>
    </rPh>
    <rPh sb="5" eb="7">
      <t>ヒョウカ</t>
    </rPh>
    <phoneticPr fontId="21"/>
  </si>
  <si>
    <t>-</t>
    <phoneticPr fontId="21"/>
  </si>
  <si>
    <t>手術室・病室</t>
    <rPh sb="0" eb="3">
      <t>シュジュツシツ</t>
    </rPh>
    <rPh sb="4" eb="6">
      <t>ビョウシツ</t>
    </rPh>
    <phoneticPr fontId="21"/>
  </si>
  <si>
    <t>排出率</t>
    <rPh sb="0" eb="2">
      <t>ハイシュツ</t>
    </rPh>
    <rPh sb="2" eb="3">
      <t>リツ</t>
    </rPh>
    <phoneticPr fontId="21"/>
  </si>
  <si>
    <t>換算スコア＝</t>
    <rPh sb="0" eb="2">
      <t>カンサン</t>
    </rPh>
    <phoneticPr fontId="21"/>
  </si>
  <si>
    <t>大気汚染防止</t>
    <rPh sb="0" eb="2">
      <t>タイキ</t>
    </rPh>
    <rPh sb="2" eb="4">
      <t>オセン</t>
    </rPh>
    <rPh sb="4" eb="6">
      <t>ボウシ</t>
    </rPh>
    <phoneticPr fontId="21"/>
  </si>
  <si>
    <t>温熱環境悪化の改善</t>
    <rPh sb="0" eb="2">
      <t>オンネツ</t>
    </rPh>
    <rPh sb="2" eb="4">
      <t>カンキョウ</t>
    </rPh>
    <rPh sb="4" eb="6">
      <t>アッカ</t>
    </rPh>
    <rPh sb="7" eb="9">
      <t>カイゼン</t>
    </rPh>
    <phoneticPr fontId="21"/>
  </si>
  <si>
    <t>評価内容</t>
  </si>
  <si>
    <t>各種発泡ガスのODPとGWP</t>
    <rPh sb="0" eb="2">
      <t>カクシュ</t>
    </rPh>
    <rPh sb="2" eb="4">
      <t>ハッポウ</t>
    </rPh>
    <phoneticPr fontId="28"/>
  </si>
  <si>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</si>
  <si>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</si>
  <si>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</si>
  <si>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</si>
  <si>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</si>
  <si>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</si>
  <si>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</si>
  <si>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</si>
  <si>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</si>
  <si>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</si>
  <si>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</si>
  <si>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1"/>
  </si>
  <si>
    <t>同上（固体伝搬音）</t>
  </si>
  <si>
    <t>ダクト・配管からの騒音（透過騒音）</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</si>
  <si>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</si>
  <si>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</si>
  <si>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</si>
  <si>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1"/>
  </si>
  <si>
    <t>余剰売電分</t>
    <phoneticPr fontId="21"/>
  </si>
  <si>
    <t>事・学・飲・工</t>
    <rPh sb="0" eb="1">
      <t>コト</t>
    </rPh>
    <rPh sb="2" eb="3">
      <t>ガク</t>
    </rPh>
    <rPh sb="4" eb="5">
      <t>イン</t>
    </rPh>
    <rPh sb="6" eb="7">
      <t>コウ</t>
    </rPh>
    <phoneticPr fontId="21"/>
  </si>
  <si>
    <t>病（診）</t>
    <rPh sb="0" eb="1">
      <t>ビョウ</t>
    </rPh>
    <rPh sb="2" eb="3">
      <t>ミ</t>
    </rPh>
    <phoneticPr fontId="21"/>
  </si>
  <si>
    <t>[照度] ＜300 lx</t>
    <phoneticPr fontId="21"/>
  </si>
  <si>
    <t>[照度] ＜150lx</t>
    <phoneticPr fontId="21"/>
  </si>
  <si>
    <t>[照度] ＜100 lx</t>
    <phoneticPr fontId="21"/>
  </si>
  <si>
    <t>[照度] ＜150 lx</t>
    <phoneticPr fontId="21"/>
  </si>
  <si>
    <t>150 lx≦　[照度]</t>
    <phoneticPr fontId="21"/>
  </si>
  <si>
    <t>100 lx≦　[照度]</t>
    <phoneticPr fontId="21"/>
  </si>
  <si>
    <t>500lx≦　[照度] ＜750</t>
    <phoneticPr fontId="21"/>
  </si>
  <si>
    <t>病</t>
    <phoneticPr fontId="21"/>
  </si>
  <si>
    <t>LR1/1. 建物外皮の熱負荷抑制</t>
    <rPh sb="7" eb="9">
      <t>タテモノ</t>
    </rPh>
    <rPh sb="9" eb="11">
      <t>ガイヒ</t>
    </rPh>
    <rPh sb="12" eb="13">
      <t>ネツ</t>
    </rPh>
    <rPh sb="13" eb="15">
      <t>フカ</t>
    </rPh>
    <rPh sb="15" eb="17">
      <t>ヨクセイ</t>
    </rPh>
    <phoneticPr fontId="21"/>
  </si>
  <si>
    <t>調整後排出係数</t>
    <rPh sb="0" eb="3">
      <t>チョウセイゴ</t>
    </rPh>
    <rPh sb="3" eb="5">
      <t>ハイシュツ</t>
    </rPh>
    <rPh sb="5" eb="7">
      <t>ケイスウ</t>
    </rPh>
    <phoneticPr fontId="21"/>
  </si>
  <si>
    <t>実排出係数との差</t>
    <rPh sb="0" eb="1">
      <t>ジツ</t>
    </rPh>
    <rPh sb="1" eb="3">
      <t>ハイシュツ</t>
    </rPh>
    <rPh sb="3" eb="5">
      <t>ケイスウ</t>
    </rPh>
    <rPh sb="7" eb="8">
      <t>サ</t>
    </rPh>
    <phoneticPr fontId="21"/>
  </si>
  <si>
    <t>２５～３０</t>
    <phoneticPr fontId="21"/>
  </si>
  <si>
    <t>３０～３５</t>
    <phoneticPr fontId="21"/>
  </si>
  <si>
    <t>３５～４０</t>
    <phoneticPr fontId="21"/>
  </si>
  <si>
    <t>４０～４５</t>
    <phoneticPr fontId="21"/>
  </si>
  <si>
    <t>４５～５０</t>
    <phoneticPr fontId="21"/>
  </si>
  <si>
    <t>５０～５５</t>
    <phoneticPr fontId="21"/>
  </si>
  <si>
    <t>うるささ</t>
    <phoneticPr fontId="21"/>
  </si>
  <si>
    <t>やき声が聞こえる</t>
    <phoneticPr fontId="21"/>
  </si>
  <si>
    <t>電話は支障なし</t>
    <phoneticPr fontId="21"/>
  </si>
  <si>
    <t>――――――</t>
    <phoneticPr fontId="21"/>
  </si>
  <si>
    <t>電話は可能―</t>
    <phoneticPr fontId="21"/>
  </si>
  <si>
    <t>電話やや困難</t>
    <phoneticPr fontId="21"/>
  </si>
  <si>
    <t>スタジオ</t>
    <phoneticPr fontId="21"/>
  </si>
  <si>
    <t>アナウンススタジオ</t>
    <phoneticPr fontId="21"/>
  </si>
  <si>
    <t>ラジオスタジオ</t>
    <phoneticPr fontId="21"/>
  </si>
  <si>
    <t>テレビスタジオ</t>
    <phoneticPr fontId="21"/>
  </si>
  <si>
    <t>ホテルロビー</t>
    <phoneticPr fontId="21"/>
  </si>
  <si>
    <t>ロビー</t>
    <phoneticPr fontId="21"/>
  </si>
  <si>
    <t>宝石店・美術品店</t>
    <phoneticPr fontId="21"/>
  </si>
  <si>
    <t>銀行・レストラン</t>
    <phoneticPr fontId="21"/>
  </si>
  <si>
    <t>建物全体・共用部分</t>
    <phoneticPr fontId="21"/>
  </si>
  <si>
    <t>事・学・物・飲・会・病・ホ・工</t>
    <phoneticPr fontId="21"/>
  </si>
  <si>
    <t>事・学・物・飲・会・病・ホ・工（2000㎡未満）</t>
    <phoneticPr fontId="21"/>
  </si>
  <si>
    <t>病・ホ</t>
    <phoneticPr fontId="21"/>
  </si>
  <si>
    <t>病・ホ（2000㎡未満）</t>
    <phoneticPr fontId="21"/>
  </si>
  <si>
    <t>若干の対策を行っている（評価する取組みにおいて1項目以上を採用）</t>
    <phoneticPr fontId="21"/>
  </si>
  <si>
    <t>太陽光発電による削減分</t>
    <rPh sb="0" eb="2">
      <t>タイヨウ</t>
    </rPh>
    <rPh sb="2" eb="3">
      <t>ヒカリ</t>
    </rPh>
    <rPh sb="3" eb="5">
      <t>ハツデン</t>
    </rPh>
    <rPh sb="8" eb="10">
      <t>サクゲン</t>
    </rPh>
    <rPh sb="10" eb="11">
      <t>ブン</t>
    </rPh>
    <phoneticPr fontId="21"/>
  </si>
  <si>
    <t>(内訳）自家消費分</t>
    <rPh sb="1" eb="3">
      <t>ウチワケ</t>
    </rPh>
    <rPh sb="4" eb="6">
      <t>ジカ</t>
    </rPh>
    <rPh sb="6" eb="8">
      <t>ショウヒ</t>
    </rPh>
    <rPh sb="8" eb="9">
      <t>ブン</t>
    </rPh>
    <phoneticPr fontId="21"/>
  </si>
  <si>
    <t>余剰売電分</t>
    <rPh sb="0" eb="2">
      <t>ヨジョウ</t>
    </rPh>
    <rPh sb="2" eb="4">
      <t>バイデン</t>
    </rPh>
    <rPh sb="4" eb="5">
      <t>ブン</t>
    </rPh>
    <phoneticPr fontId="21"/>
  </si>
  <si>
    <t>その他再生可能エネルギー</t>
    <rPh sb="2" eb="3">
      <t>ホカ</t>
    </rPh>
    <rPh sb="3" eb="5">
      <t>サイセイ</t>
    </rPh>
    <rPh sb="5" eb="7">
      <t>カノウ</t>
    </rPh>
    <phoneticPr fontId="21"/>
  </si>
  <si>
    <t>エネルギー
消費量の算定方法</t>
    <rPh sb="6" eb="9">
      <t>ショウヒリョウ</t>
    </rPh>
    <rPh sb="10" eb="12">
      <t>サンテイ</t>
    </rPh>
    <rPh sb="12" eb="14">
      <t>ホウホウ</t>
    </rPh>
    <phoneticPr fontId="21"/>
  </si>
  <si>
    <r>
      <t xml:space="preserve">3.1.3 </t>
    </r>
    <r>
      <rPr>
        <b/>
        <sz val="10"/>
        <rFont val="ＭＳ Ｐゴシック"/>
        <family val="3"/>
        <charset val="128"/>
      </rPr>
      <t>悪臭</t>
    </r>
    <phoneticPr fontId="21"/>
  </si>
  <si>
    <r>
      <t xml:space="preserve">3.2.1 </t>
    </r>
    <r>
      <rPr>
        <b/>
        <sz val="10"/>
        <rFont val="ＭＳ Ｐゴシック"/>
        <family val="3"/>
        <charset val="128"/>
      </rPr>
      <t>風害の抑制</t>
    </r>
    <phoneticPr fontId="21"/>
  </si>
  <si>
    <t>校庭からの砂塵に対する取組みが十分ではない。（評価ポイント1）</t>
    <phoneticPr fontId="21"/>
  </si>
  <si>
    <t>評価内容</t>
    <phoneticPr fontId="21"/>
  </si>
  <si>
    <t>I 校庭からの砂塵の飛散を抑制する取組み</t>
    <phoneticPr fontId="21"/>
  </si>
  <si>
    <t>II 校庭を砂塵が発生しない仕上げとする。</t>
    <phoneticPr fontId="21"/>
  </si>
  <si>
    <t>2）校庭を砂塵が発生しにくい舗装としている。</t>
    <phoneticPr fontId="21"/>
  </si>
  <si>
    <t>3.1.1</t>
    <phoneticPr fontId="21"/>
  </si>
  <si>
    <t>3.1.2</t>
    <phoneticPr fontId="21"/>
  </si>
  <si>
    <t>3.1.3</t>
    <phoneticPr fontId="21"/>
  </si>
  <si>
    <t>3.2.1</t>
    <phoneticPr fontId="21"/>
  </si>
  <si>
    <t>3.2.2</t>
    <phoneticPr fontId="21"/>
  </si>
  <si>
    <t>3.2.3</t>
    <phoneticPr fontId="21"/>
  </si>
  <si>
    <t>3.2.3</t>
    <phoneticPr fontId="21"/>
  </si>
  <si>
    <t>IV 緑の質の確保</t>
    <phoneticPr fontId="21"/>
  </si>
  <si>
    <t>V 生物資源の管理と利用</t>
    <phoneticPr fontId="21"/>
  </si>
  <si>
    <t>はい</t>
    <phoneticPr fontId="21"/>
  </si>
  <si>
    <t>いいえ</t>
    <phoneticPr fontId="21"/>
  </si>
  <si>
    <t>　レベル　1</t>
    <phoneticPr fontId="21"/>
  </si>
  <si>
    <t>■レベル　1</t>
    <phoneticPr fontId="21"/>
  </si>
  <si>
    <t>レベル</t>
    <phoneticPr fontId="21"/>
  </si>
  <si>
    <t>1.2.1</t>
    <phoneticPr fontId="21"/>
  </si>
  <si>
    <t>1.2.2</t>
    <phoneticPr fontId="21"/>
  </si>
  <si>
    <t>-</t>
    <phoneticPr fontId="21"/>
  </si>
  <si>
    <t>-</t>
    <phoneticPr fontId="21"/>
  </si>
  <si>
    <t>-</t>
    <phoneticPr fontId="21"/>
  </si>
  <si>
    <t>-</t>
    <phoneticPr fontId="21"/>
  </si>
  <si>
    <t>-</t>
    <phoneticPr fontId="21"/>
  </si>
  <si>
    <r>
      <t>LR3</t>
    </r>
    <r>
      <rPr>
        <b/>
        <sz val="14"/>
        <rFont val="ＭＳ Ｐゴシック"/>
        <family val="3"/>
        <charset val="128"/>
      </rPr>
      <t>　敷地外環境</t>
    </r>
    <rPh sb="4" eb="6">
      <t>シキチ</t>
    </rPh>
    <rPh sb="6" eb="7">
      <t>ガイ</t>
    </rPh>
    <phoneticPr fontId="21"/>
  </si>
  <si>
    <r>
      <t xml:space="preserve">2.2.2 </t>
    </r>
    <r>
      <rPr>
        <b/>
        <sz val="10"/>
        <rFont val="ＭＳ Ｐゴシック"/>
        <family val="3"/>
        <charset val="128"/>
      </rPr>
      <t>外壁仕上げ材の補修必要間隔</t>
    </r>
    <phoneticPr fontId="21"/>
  </si>
  <si>
    <r>
      <t xml:space="preserve">2.2.3 </t>
    </r>
    <r>
      <rPr>
        <b/>
        <sz val="10"/>
        <rFont val="ＭＳ Ｐゴシック"/>
        <family val="3"/>
        <charset val="128"/>
      </rPr>
      <t>主要内装仕上げ材の更新必要間隔</t>
    </r>
    <phoneticPr fontId="21"/>
  </si>
  <si>
    <t>住</t>
    <phoneticPr fontId="21"/>
  </si>
  <si>
    <t>5年未満</t>
    <phoneticPr fontId="21"/>
  </si>
  <si>
    <t>16年以上～25年未満</t>
    <phoneticPr fontId="21"/>
  </si>
  <si>
    <t>20年以上</t>
    <phoneticPr fontId="21"/>
  </si>
  <si>
    <t>採用項目</t>
    <rPh sb="0" eb="2">
      <t>サイヨウ</t>
    </rPh>
    <rPh sb="2" eb="4">
      <t>コウモク</t>
    </rPh>
    <phoneticPr fontId="21"/>
  </si>
  <si>
    <t>（屋外）吸込み口・排気口からの騒音</t>
    <phoneticPr fontId="21"/>
  </si>
  <si>
    <t>建物全体・共用部分</t>
    <phoneticPr fontId="21"/>
  </si>
  <si>
    <t>病・ホ・住</t>
    <phoneticPr fontId="21"/>
  </si>
  <si>
    <t>騒音が気になる。</t>
    <phoneticPr fontId="21"/>
  </si>
  <si>
    <t>騒音がほとんど気にならない。</t>
    <phoneticPr fontId="21"/>
  </si>
  <si>
    <t>T-1未満</t>
    <phoneticPr fontId="21"/>
  </si>
  <si>
    <t>T-1</t>
    <phoneticPr fontId="21"/>
  </si>
  <si>
    <t>T-2以上</t>
    <phoneticPr fontId="21"/>
  </si>
  <si>
    <r>
      <t xml:space="preserve">1.2.2 </t>
    </r>
    <r>
      <rPr>
        <b/>
        <sz val="10"/>
        <rFont val="ＭＳ Ｐゴシック"/>
        <family val="3"/>
        <charset val="128"/>
      </rPr>
      <t>界壁遮音性能</t>
    </r>
    <phoneticPr fontId="21"/>
  </si>
  <si>
    <t>住</t>
    <phoneticPr fontId="21"/>
  </si>
  <si>
    <t>人の話し声が気になる。</t>
    <phoneticPr fontId="21"/>
  </si>
  <si>
    <t>実排出係数の場合</t>
    <rPh sb="0" eb="1">
      <t>ジツ</t>
    </rPh>
    <rPh sb="1" eb="3">
      <t>ハイシュツ</t>
    </rPh>
    <rPh sb="3" eb="5">
      <t>ケイスウ</t>
    </rPh>
    <rPh sb="6" eb="8">
      <t>バアイ</t>
    </rPh>
    <phoneticPr fontId="21"/>
  </si>
  <si>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1"/>
  </si>
  <si>
    <t>実排出係数</t>
    <rPh sb="0" eb="1">
      <t>ジツ</t>
    </rPh>
    <rPh sb="1" eb="3">
      <t>ハイシュツ</t>
    </rPh>
    <rPh sb="3" eb="5">
      <t>ケイスウ</t>
    </rPh>
    <phoneticPr fontId="21"/>
  </si>
  <si>
    <t>延床面積あたり　[2]</t>
    <rPh sb="0" eb="2">
      <t>ノベユカ</t>
    </rPh>
    <rPh sb="2" eb="4">
      <t>メンセキ</t>
    </rPh>
    <phoneticPr fontId="21"/>
  </si>
  <si>
    <t>重み係数</t>
    <rPh sb="0" eb="1">
      <t>オモ</t>
    </rPh>
    <rPh sb="2" eb="4">
      <t>ケイスウ</t>
    </rPh>
    <phoneticPr fontId="21"/>
  </si>
  <si>
    <t>重み係数（既定）</t>
    <rPh sb="0" eb="1">
      <t>オモ</t>
    </rPh>
    <rPh sb="2" eb="4">
      <t>ケイスウ</t>
    </rPh>
    <rPh sb="5" eb="7">
      <t>キテイ</t>
    </rPh>
    <phoneticPr fontId="21"/>
  </si>
  <si>
    <t>0.　既存</t>
    <rPh sb="3" eb="5">
      <t>キソン</t>
    </rPh>
    <phoneticPr fontId="21"/>
  </si>
  <si>
    <t>１．基本設計</t>
    <rPh sb="2" eb="4">
      <t>キホン</t>
    </rPh>
    <rPh sb="4" eb="6">
      <t>セッケイ</t>
    </rPh>
    <phoneticPr fontId="21"/>
  </si>
  <si>
    <t>２．実施・竣工段階</t>
    <rPh sb="2" eb="4">
      <t>ジッシ</t>
    </rPh>
    <rPh sb="5" eb="7">
      <t>シュンコウ</t>
    </rPh>
    <rPh sb="7" eb="9">
      <t>ダンカイ</t>
    </rPh>
    <phoneticPr fontId="21"/>
  </si>
  <si>
    <t>補正後</t>
    <rPh sb="0" eb="2">
      <t>ホセイ</t>
    </rPh>
    <rPh sb="2" eb="3">
      <t>ゴ</t>
    </rPh>
    <phoneticPr fontId="21"/>
  </si>
  <si>
    <t>補正前</t>
    <rPh sb="0" eb="2">
      <t>ホセイ</t>
    </rPh>
    <rPh sb="2" eb="3">
      <t>マエ</t>
    </rPh>
    <phoneticPr fontId="21"/>
  </si>
  <si>
    <t>補正前計</t>
    <rPh sb="0" eb="2">
      <t>ホセイ</t>
    </rPh>
    <rPh sb="2" eb="3">
      <t>マエ</t>
    </rPh>
    <rPh sb="3" eb="4">
      <t>ケイ</t>
    </rPh>
    <phoneticPr fontId="21"/>
  </si>
  <si>
    <t>対象外の選択</t>
    <rPh sb="0" eb="3">
      <t>タイショウガイ</t>
    </rPh>
    <rPh sb="4" eb="6">
      <t>センタク</t>
    </rPh>
    <phoneticPr fontId="21"/>
  </si>
  <si>
    <t>既定重み</t>
    <rPh sb="0" eb="2">
      <t>キテイ</t>
    </rPh>
    <rPh sb="2" eb="3">
      <t>オモ</t>
    </rPh>
    <phoneticPr fontId="21"/>
  </si>
  <si>
    <t>6）防犯性の配慮</t>
    <phoneticPr fontId="21"/>
  </si>
  <si>
    <t>評価する取組み表の評価ポイントの合計値が0ポイント</t>
    <phoneticPr fontId="21"/>
  </si>
  <si>
    <t>評価する取組み表の評価ポイントの合計値が1～5ポイント</t>
    <phoneticPr fontId="21"/>
  </si>
  <si>
    <t>待合室</t>
    <rPh sb="0" eb="3">
      <t>マチアイシツ</t>
    </rPh>
    <phoneticPr fontId="21"/>
  </si>
  <si>
    <t>ホテル・住宅</t>
    <rPh sb="4" eb="6">
      <t>ジュウタク</t>
    </rPh>
    <phoneticPr fontId="21"/>
  </si>
  <si>
    <t>書斎</t>
    <rPh sb="0" eb="2">
      <t>ショサイ</t>
    </rPh>
    <phoneticPr fontId="21"/>
  </si>
  <si>
    <t>寝室・客室</t>
    <rPh sb="0" eb="2">
      <t>シンシツ</t>
    </rPh>
    <rPh sb="3" eb="5">
      <t>キャクシツ</t>
    </rPh>
    <phoneticPr fontId="21"/>
  </si>
  <si>
    <t>①風向きに対する配置や形状の工夫を机上で検討(机上予測)している場合(1ポイント)</t>
    <phoneticPr fontId="21"/>
  </si>
  <si>
    <r>
      <t>2.3.1</t>
    </r>
    <r>
      <rPr>
        <b/>
        <sz val="10"/>
        <rFont val="ＭＳ Ｐゴシック"/>
        <family val="3"/>
        <charset val="128"/>
      </rPr>
      <t>　雨水排水負荷低減</t>
    </r>
    <phoneticPr fontId="21"/>
  </si>
  <si>
    <r>
      <t xml:space="preserve">2.3.2 </t>
    </r>
    <r>
      <rPr>
        <b/>
        <sz val="10"/>
        <rFont val="ＭＳ Ｐゴシック"/>
        <family val="3"/>
        <charset val="128"/>
      </rPr>
      <t>汚水処理負荷抑制</t>
    </r>
    <phoneticPr fontId="21"/>
  </si>
  <si>
    <r>
      <t xml:space="preserve">2.3.3 </t>
    </r>
    <r>
      <rPr>
        <b/>
        <sz val="10"/>
        <rFont val="ＭＳ Ｐゴシック"/>
        <family val="3"/>
        <charset val="128"/>
      </rPr>
      <t>交通負荷抑制</t>
    </r>
    <phoneticPr fontId="21"/>
  </si>
  <si>
    <t>評価する取組み表の評価ポイントの合計値が0ポイント</t>
    <phoneticPr fontId="21"/>
  </si>
  <si>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1"/>
  </si>
  <si>
    <t>レベル</t>
    <phoneticPr fontId="21"/>
  </si>
  <si>
    <t>N.A.</t>
    <phoneticPr fontId="21"/>
  </si>
  <si>
    <t>35＜ [騒音レベル] ≦40</t>
  </si>
  <si>
    <t>　レベル　4</t>
  </si>
  <si>
    <t>■レベル　4</t>
  </si>
  <si>
    <t>[騒音レベル] ≦40</t>
  </si>
  <si>
    <t>[騒音レベル] ≦35</t>
  </si>
  <si>
    <t>[騒音レベル] ≦45</t>
  </si>
  <si>
    <t>[騒音レベル] ≦30</t>
  </si>
  <si>
    <t>[騒音レベル] ≦35</t>
    <phoneticPr fontId="21"/>
  </si>
  <si>
    <t>　レベル　5</t>
  </si>
  <si>
    <t>■レベル　5</t>
  </si>
  <si>
    <t>騒音：　室内許容騒音レベル＊</t>
    <rPh sb="4" eb="6">
      <t>シツナイ</t>
    </rPh>
    <rPh sb="6" eb="8">
      <t>キョヨウ</t>
    </rPh>
    <rPh sb="8" eb="10">
      <t>ソウオン</t>
    </rPh>
    <phoneticPr fontId="21"/>
  </si>
  <si>
    <t>無音感―――</t>
    <rPh sb="0" eb="2">
      <t>ムオン</t>
    </rPh>
    <rPh sb="2" eb="3">
      <t>カン</t>
    </rPh>
    <phoneticPr fontId="21"/>
  </si>
  <si>
    <t>―――――――――非常に静か―――――――――</t>
    <rPh sb="9" eb="11">
      <t>ヒジョウ</t>
    </rPh>
    <rPh sb="12" eb="13">
      <t>シズ</t>
    </rPh>
    <phoneticPr fontId="21"/>
  </si>
  <si>
    <t>―特に気にならない――――――</t>
    <rPh sb="1" eb="2">
      <t>トク</t>
    </rPh>
    <rPh sb="3" eb="4">
      <t>キ</t>
    </rPh>
    <phoneticPr fontId="21"/>
  </si>
  <si>
    <t>騒音を感じる―</t>
    <rPh sb="0" eb="2">
      <t>ソウオン</t>
    </rPh>
    <rPh sb="3" eb="4">
      <t>カン</t>
    </rPh>
    <phoneticPr fontId="21"/>
  </si>
  <si>
    <t xml:space="preserve">              ――――――騒音を無視できない</t>
    <rPh sb="20" eb="22">
      <t>ソウオン</t>
    </rPh>
    <rPh sb="23" eb="25">
      <t>ムシ</t>
    </rPh>
    <phoneticPr fontId="21"/>
  </si>
  <si>
    <t>会話・電話への影響</t>
    <rPh sb="0" eb="2">
      <t>カイワ</t>
    </rPh>
    <rPh sb="3" eb="5">
      <t>デンワ</t>
    </rPh>
    <rPh sb="7" eb="9">
      <t>エイキョウ</t>
    </rPh>
    <phoneticPr fontId="21"/>
  </si>
  <si>
    <t>５ｍ離れてささ</t>
    <rPh sb="2" eb="3">
      <t>ハナ</t>
    </rPh>
    <phoneticPr fontId="21"/>
  </si>
  <si>
    <t>――――１０ｍ離れて会議可能――――</t>
    <rPh sb="7" eb="8">
      <t>ハナ</t>
    </rPh>
    <rPh sb="10" eb="12">
      <t>カイギ</t>
    </rPh>
    <rPh sb="12" eb="14">
      <t>カノウ</t>
    </rPh>
    <phoneticPr fontId="21"/>
  </si>
  <si>
    <t>――普通会話（３ｍ以内）――――</t>
    <rPh sb="2" eb="4">
      <t>フツウ</t>
    </rPh>
    <rPh sb="4" eb="6">
      <t>カイワ</t>
    </rPh>
    <rPh sb="9" eb="11">
      <t>イナイ</t>
    </rPh>
    <phoneticPr fontId="21"/>
  </si>
  <si>
    <t>大声会話（３ｍ）</t>
    <rPh sb="0" eb="2">
      <t>オオゴエ</t>
    </rPh>
    <rPh sb="2" eb="4">
      <t>カイワ</t>
    </rPh>
    <phoneticPr fontId="21"/>
  </si>
  <si>
    <t>　・風下地域への風の通り道と特に関係しない場合(1ポイント)
　・風下地域への風の通り道を遮らないよう配慮している場合(2ポイント)</t>
    <phoneticPr fontId="21"/>
  </si>
  <si>
    <t>卓越風向に対する建築物の見付面積比が
　・60％以上80％未満の場合(1ポイント)
　・40％以上60％未満の場合(2ポイント)
　・40％未満の場合(3ポイント)</t>
    <phoneticPr fontId="21"/>
  </si>
  <si>
    <t>機械・配管支持方法</t>
    <rPh sb="0" eb="2">
      <t>キカイ</t>
    </rPh>
    <rPh sb="3" eb="5">
      <t>ハイカン</t>
    </rPh>
    <rPh sb="5" eb="7">
      <t>シジ</t>
    </rPh>
    <rPh sb="7" eb="9">
      <t>ホウホウ</t>
    </rPh>
    <phoneticPr fontId="21"/>
  </si>
  <si>
    <t>通信・情報設備</t>
    <rPh sb="0" eb="2">
      <t>ツウシン</t>
    </rPh>
    <rPh sb="3" eb="5">
      <t>ジョウホウ</t>
    </rPh>
    <rPh sb="5" eb="7">
      <t>セツビ</t>
    </rPh>
    <phoneticPr fontId="21"/>
  </si>
  <si>
    <t>対応性・更新性</t>
    <rPh sb="0" eb="3">
      <t>タイオウセイ</t>
    </rPh>
    <rPh sb="4" eb="6">
      <t>コウシン</t>
    </rPh>
    <rPh sb="6" eb="7">
      <t>セイ</t>
    </rPh>
    <phoneticPr fontId="21"/>
  </si>
  <si>
    <t>空間のゆとり</t>
  </si>
  <si>
    <t>階高のゆとり</t>
    <rPh sb="0" eb="1">
      <t>カイ</t>
    </rPh>
    <rPh sb="1" eb="2">
      <t>ダカ</t>
    </rPh>
    <phoneticPr fontId="21"/>
  </si>
  <si>
    <t>空間の形状・自由さ</t>
    <rPh sb="0" eb="2">
      <t>クウカン</t>
    </rPh>
    <rPh sb="3" eb="5">
      <t>ケイジョウ</t>
    </rPh>
    <rPh sb="6" eb="8">
      <t>ジユウ</t>
    </rPh>
    <phoneticPr fontId="21"/>
  </si>
  <si>
    <t>荷重のゆとり</t>
  </si>
  <si>
    <t>設備の更新性</t>
  </si>
  <si>
    <t>給排水管の更新性</t>
    <rPh sb="0" eb="1">
      <t>キュウ</t>
    </rPh>
    <rPh sb="1" eb="4">
      <t>ハイスイカン</t>
    </rPh>
    <rPh sb="5" eb="7">
      <t>コウシン</t>
    </rPh>
    <rPh sb="7" eb="8">
      <t>セイ</t>
    </rPh>
    <phoneticPr fontId="21"/>
  </si>
  <si>
    <t>電気配線の更新性</t>
    <rPh sb="0" eb="2">
      <t>デンキ</t>
    </rPh>
    <rPh sb="2" eb="4">
      <t>ハイセン</t>
    </rPh>
    <rPh sb="5" eb="7">
      <t>コウシン</t>
    </rPh>
    <rPh sb="7" eb="8">
      <t>セイ</t>
    </rPh>
    <phoneticPr fontId="21"/>
  </si>
  <si>
    <t>通信配線の更新性</t>
    <rPh sb="0" eb="2">
      <t>ツウシン</t>
    </rPh>
    <rPh sb="2" eb="4">
      <t>ハイセン</t>
    </rPh>
    <rPh sb="5" eb="7">
      <t>コウシン</t>
    </rPh>
    <rPh sb="7" eb="8">
      <t>セイ</t>
    </rPh>
    <phoneticPr fontId="21"/>
  </si>
  <si>
    <t>設備機器の更新性</t>
    <rPh sb="0" eb="2">
      <t>セツビ</t>
    </rPh>
    <rPh sb="2" eb="4">
      <t>キキ</t>
    </rPh>
    <rPh sb="5" eb="7">
      <t>コウシン</t>
    </rPh>
    <rPh sb="7" eb="8">
      <t>セイ</t>
    </rPh>
    <phoneticPr fontId="21"/>
  </si>
  <si>
    <t>バックアップスペースの確保</t>
    <rPh sb="11" eb="13">
      <t>カクホ</t>
    </rPh>
    <phoneticPr fontId="21"/>
  </si>
  <si>
    <t>生物環境の保全と創出</t>
    <rPh sb="0" eb="2">
      <t>セイブツ</t>
    </rPh>
    <rPh sb="2" eb="4">
      <t>カンキョウ</t>
    </rPh>
    <rPh sb="5" eb="7">
      <t>ホゼン</t>
    </rPh>
    <rPh sb="8" eb="10">
      <t>ソウシュツ</t>
    </rPh>
    <phoneticPr fontId="21"/>
  </si>
  <si>
    <t>まちなみ・景観への配慮</t>
    <rPh sb="5" eb="7">
      <t>ケイカン</t>
    </rPh>
    <rPh sb="9" eb="11">
      <t>ハイリョ</t>
    </rPh>
    <phoneticPr fontId="21"/>
  </si>
  <si>
    <t>地域性・アメニティへの配慮</t>
    <rPh sb="0" eb="3">
      <t>ﾁｲｷｾｲ</t>
    </rPh>
    <rPh sb="11" eb="13">
      <t>ﾊｲﾘｮ</t>
    </rPh>
    <phoneticPr fontId="34" type="noConversion"/>
  </si>
  <si>
    <t>敷地内温熱環境の向上</t>
    <rPh sb="0" eb="2">
      <t>シキチ</t>
    </rPh>
    <rPh sb="2" eb="3">
      <t>ナイ</t>
    </rPh>
    <rPh sb="3" eb="5">
      <t>オンネツ</t>
    </rPh>
    <rPh sb="8" eb="10">
      <t>コウジョウ</t>
    </rPh>
    <phoneticPr fontId="21"/>
  </si>
  <si>
    <t>LR　建築物の環境負荷低減性</t>
    <phoneticPr fontId="21"/>
  </si>
  <si>
    <t>LR1</t>
    <phoneticPr fontId="34" type="noConversion"/>
  </si>
  <si>
    <t>エネルギー</t>
    <phoneticPr fontId="21"/>
  </si>
  <si>
    <t>自然エネルギー利用</t>
    <rPh sb="0" eb="2">
      <t>ｼｾﾞﾝ</t>
    </rPh>
    <rPh sb="7" eb="9">
      <t>ﾘﾖｳ</t>
    </rPh>
    <phoneticPr fontId="34" type="noConversion"/>
  </si>
  <si>
    <t>実施・竣工</t>
    <rPh sb="0" eb="2">
      <t>ジッシ</t>
    </rPh>
    <rPh sb="3" eb="5">
      <t>シュンコウ</t>
    </rPh>
    <phoneticPr fontId="21"/>
  </si>
  <si>
    <t>基本</t>
    <rPh sb="0" eb="2">
      <t>キホン</t>
    </rPh>
    <phoneticPr fontId="21"/>
  </si>
  <si>
    <t>自然エネルギーの直接利用</t>
  </si>
  <si>
    <t>自然エネルギーの変換利用</t>
  </si>
  <si>
    <t>設備システムの高効率化</t>
    <rPh sb="0" eb="2">
      <t>ｾﾂﾋﾞ</t>
    </rPh>
    <rPh sb="7" eb="8">
      <t>ｺｳ</t>
    </rPh>
    <rPh sb="8" eb="10">
      <t>ｺｳﾘﾂ</t>
    </rPh>
    <rPh sb="10" eb="11">
      <t>ｶ</t>
    </rPh>
    <phoneticPr fontId="34" type="noConversion"/>
  </si>
  <si>
    <t>空調設備</t>
  </si>
  <si>
    <t>換気設備</t>
  </si>
  <si>
    <t>照明設備</t>
  </si>
  <si>
    <t>給湯設備</t>
  </si>
  <si>
    <t>昇降機設備</t>
  </si>
  <si>
    <t>効率的運用</t>
    <rPh sb="0" eb="3">
      <t>ｺｳﾘﾂﾃｷ</t>
    </rPh>
    <rPh sb="3" eb="5">
      <t>ｳﾝﾖｳ</t>
    </rPh>
    <phoneticPr fontId="34" type="noConversion"/>
  </si>
  <si>
    <t>運用管理体制</t>
    <rPh sb="0" eb="2">
      <t>ｳﾝﾖｳ</t>
    </rPh>
    <rPh sb="2" eb="4">
      <t>ｶﾝﾘ</t>
    </rPh>
    <rPh sb="4" eb="6">
      <t>ﾀｲｾｲ</t>
    </rPh>
    <phoneticPr fontId="34" type="noConversion"/>
  </si>
  <si>
    <t>水資源保護</t>
    <rPh sb="0" eb="1">
      <t>ﾐｽﾞ</t>
    </rPh>
    <rPh sb="1" eb="3">
      <t>ｼｹﾞﾝ</t>
    </rPh>
    <rPh sb="3" eb="5">
      <t>ﾎｺﾞ</t>
    </rPh>
    <phoneticPr fontId="34" type="noConversion"/>
  </si>
  <si>
    <t>節水</t>
    <rPh sb="0" eb="2">
      <t>ｾｯｽｲ</t>
    </rPh>
    <phoneticPr fontId="34" type="noConversion"/>
  </si>
  <si>
    <t>雨水利用・雑排水等の利用</t>
    <rPh sb="0" eb="2">
      <t>ｳｽｲ</t>
    </rPh>
    <rPh sb="2" eb="4">
      <t>ﾘﾖｳ</t>
    </rPh>
    <rPh sb="5" eb="8">
      <t>ｻﾞﾂﾊｲｽｲ</t>
    </rPh>
    <rPh sb="8" eb="9">
      <t>ﾄｳ</t>
    </rPh>
    <rPh sb="10" eb="12">
      <t>ﾘﾖｳ</t>
    </rPh>
    <phoneticPr fontId="34" type="noConversion"/>
  </si>
  <si>
    <t>雨水利用システム導入の有無</t>
    <rPh sb="0" eb="2">
      <t>ウスイ</t>
    </rPh>
    <rPh sb="2" eb="4">
      <t>リヨウ</t>
    </rPh>
    <rPh sb="8" eb="10">
      <t>ドウニュウ</t>
    </rPh>
    <rPh sb="11" eb="13">
      <t>ウム</t>
    </rPh>
    <phoneticPr fontId="21"/>
  </si>
  <si>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</si>
  <si>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1"/>
  </si>
  <si>
    <t>材料使用量の削減</t>
    <rPh sb="0" eb="2">
      <t>ザイリョウ</t>
    </rPh>
    <rPh sb="2" eb="4">
      <t>シヨウ</t>
    </rPh>
    <rPh sb="4" eb="5">
      <t>リョウ</t>
    </rPh>
    <rPh sb="6" eb="8">
      <t>サクゲン</t>
    </rPh>
    <phoneticPr fontId="21"/>
  </si>
  <si>
    <t>既存建築躯体等の継続使用</t>
    <rPh sb="6" eb="7">
      <t>トウ</t>
    </rPh>
    <rPh sb="8" eb="10">
      <t>ケイゾク</t>
    </rPh>
    <rPh sb="10" eb="12">
      <t>シヨウ</t>
    </rPh>
    <phoneticPr fontId="21"/>
  </si>
  <si>
    <t>躯体材料におけるリサイクル材の使用</t>
    <rPh sb="0" eb="2">
      <t>クタイ</t>
    </rPh>
    <rPh sb="2" eb="4">
      <t>ザイリョウ</t>
    </rPh>
    <rPh sb="13" eb="14">
      <t>ザイ</t>
    </rPh>
    <rPh sb="15" eb="17">
      <t>シヨウ</t>
    </rPh>
    <phoneticPr fontId="21"/>
  </si>
  <si>
    <t>持続可能な森林から産出された木材</t>
  </si>
  <si>
    <t>部材の再利用可能性向上への取組み</t>
    <rPh sb="9" eb="11">
      <t>コウジョウ</t>
    </rPh>
    <rPh sb="13" eb="15">
      <t>トリク</t>
    </rPh>
    <phoneticPr fontId="21"/>
  </si>
  <si>
    <t>汚染物質含有材料の使用回避</t>
    <rPh sb="0" eb="2">
      <t>オセン</t>
    </rPh>
    <rPh sb="2" eb="4">
      <t>ブッシツ</t>
    </rPh>
    <rPh sb="4" eb="6">
      <t>ガンユウ</t>
    </rPh>
    <rPh sb="6" eb="8">
      <t>ザイリョウ</t>
    </rPh>
    <rPh sb="9" eb="11">
      <t>シヨウ</t>
    </rPh>
    <rPh sb="11" eb="13">
      <t>カイヒ</t>
    </rPh>
    <phoneticPr fontId="21"/>
  </si>
  <si>
    <t>有害物質を含まない材料の使用</t>
    <rPh sb="0" eb="2">
      <t>ユウガイ</t>
    </rPh>
    <rPh sb="2" eb="4">
      <t>ブッシツ</t>
    </rPh>
    <rPh sb="5" eb="6">
      <t>フク</t>
    </rPh>
    <rPh sb="12" eb="14">
      <t>シヨウ</t>
    </rPh>
    <phoneticPr fontId="21"/>
  </si>
  <si>
    <t>フロン・ハロンの回避</t>
    <rPh sb="8" eb="10">
      <t>カイヒ</t>
    </rPh>
    <phoneticPr fontId="21"/>
  </si>
  <si>
    <t>売場の天井高3.6m以上。</t>
    <phoneticPr fontId="21"/>
  </si>
  <si>
    <t>住居・宿泊部の天井高2.7m以上。</t>
    <phoneticPr fontId="21"/>
  </si>
  <si>
    <r>
      <t xml:space="preserve">1.2.2 </t>
    </r>
    <r>
      <rPr>
        <b/>
        <sz val="10"/>
        <rFont val="ＭＳ Ｐゴシック"/>
        <family val="3"/>
        <charset val="128"/>
      </rPr>
      <t>リフレッシュスペース</t>
    </r>
    <phoneticPr fontId="21"/>
  </si>
  <si>
    <t>-</t>
    <phoneticPr fontId="21"/>
  </si>
  <si>
    <t>レストスペースが売り場面積の2％以上</t>
    <phoneticPr fontId="21"/>
  </si>
  <si>
    <t>レストスペースが売り場面積の3％以上</t>
    <phoneticPr fontId="21"/>
  </si>
  <si>
    <t>レストスペースが売り場面積の4％以上</t>
    <phoneticPr fontId="21"/>
  </si>
  <si>
    <t>評価する取り組みのうち２つの項目に該当する。</t>
    <phoneticPr fontId="21"/>
  </si>
  <si>
    <t>評価する取り組みのうち３つの項目に該当する。</t>
    <phoneticPr fontId="21"/>
  </si>
  <si>
    <t>評価する取り組みのうち４つの項目に該当する。</t>
    <phoneticPr fontId="21"/>
  </si>
  <si>
    <t>住居宿泊部分</t>
    <phoneticPr fontId="21"/>
  </si>
  <si>
    <t>モックアップ（実物大模型）やインテリアパースによる内装計画の事前検証を実施している。</t>
    <phoneticPr fontId="21"/>
  </si>
  <si>
    <t>⑦　外装仕上げ：外壁面やガラスは防汚性の高い建材や耐候性塗料や親水性塗料などを施した仕上げを採用している。</t>
    <phoneticPr fontId="21"/>
  </si>
  <si>
    <t>⑫　その他：上記以外の部分にて維持管理に配慮した設計の取り組みをしている。</t>
    <phoneticPr fontId="21"/>
  </si>
  <si>
    <t>合計＝</t>
    <phoneticPr fontId="21"/>
  </si>
  <si>
    <t>建築物衛生法における特定建築物に該当しない建築物</t>
    <phoneticPr fontId="21"/>
  </si>
  <si>
    <t>合計＝</t>
    <phoneticPr fontId="21"/>
  </si>
  <si>
    <t>(該当するレベルなし)</t>
    <phoneticPr fontId="21"/>
  </si>
  <si>
    <t>建築物衛生法における特定建築物</t>
    <phoneticPr fontId="21"/>
  </si>
  <si>
    <t>換気</t>
    <rPh sb="0" eb="2">
      <t>カンキ</t>
    </rPh>
    <phoneticPr fontId="21"/>
  </si>
  <si>
    <r>
      <t xml:space="preserve">4.2.1 </t>
    </r>
    <r>
      <rPr>
        <b/>
        <sz val="10"/>
        <rFont val="ＭＳ Ｐゴシック"/>
        <family val="3"/>
        <charset val="128"/>
      </rPr>
      <t>換気量</t>
    </r>
    <rPh sb="6" eb="9">
      <t>カンキリョウ</t>
    </rPh>
    <phoneticPr fontId="21"/>
  </si>
  <si>
    <t>事・学(大学等)・物・飲・会・病・ホ・工・住</t>
    <rPh sb="0" eb="1">
      <t>コト</t>
    </rPh>
    <rPh sb="2" eb="3">
      <t>ガク</t>
    </rPh>
    <rPh sb="9" eb="10">
      <t>モノ</t>
    </rPh>
    <rPh sb="11" eb="12">
      <t>イン</t>
    </rPh>
    <rPh sb="13" eb="14">
      <t>カイ</t>
    </rPh>
    <rPh sb="15" eb="16">
      <t>ヤマイ</t>
    </rPh>
    <rPh sb="21" eb="22">
      <t>ジュウ</t>
    </rPh>
    <phoneticPr fontId="21"/>
  </si>
  <si>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1"/>
  </si>
  <si>
    <t>中央管理方式の空気調和設備が設置されている居室の場合は35㎥/ｈ人以上。中央管理方式でない場合は建築基準法（シックハウス対応含む）および建築物衛生法を満たす換気量の1.4倍となっている。</t>
    <phoneticPr fontId="21"/>
  </si>
  <si>
    <r>
      <t xml:space="preserve">4.2.2 </t>
    </r>
    <r>
      <rPr>
        <b/>
        <sz val="10"/>
        <rFont val="ＭＳ Ｐゴシック"/>
        <family val="3"/>
        <charset val="128"/>
      </rPr>
      <t>自然換気性能</t>
    </r>
    <rPh sb="6" eb="8">
      <t>シゼン</t>
    </rPh>
    <rPh sb="8" eb="10">
      <t>カンキ</t>
    </rPh>
    <rPh sb="10" eb="12">
      <t>セイノウ</t>
    </rPh>
    <phoneticPr fontId="21"/>
  </si>
  <si>
    <t>地域区分Ⅱ</t>
  </si>
  <si>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1"/>
  </si>
  <si>
    <t>建物全体・共用部分</t>
    <phoneticPr fontId="21"/>
  </si>
  <si>
    <t>延床面積＝</t>
    <rPh sb="0" eb="1">
      <t>ノベ</t>
    </rPh>
    <rPh sb="1" eb="4">
      <t>ユカメンセキ</t>
    </rPh>
    <phoneticPr fontId="21"/>
  </si>
  <si>
    <t>備考</t>
    <rPh sb="0" eb="2">
      <t>ビコウ</t>
    </rPh>
    <phoneticPr fontId="21"/>
  </si>
  <si>
    <t>式設定</t>
    <rPh sb="0" eb="1">
      <t>シキ</t>
    </rPh>
    <rPh sb="1" eb="3">
      <t>セッテイ</t>
    </rPh>
    <phoneticPr fontId="21"/>
  </si>
  <si>
    <t>評価する取組み表の評価ポイントの合計値が18ポイント以上</t>
  </si>
  <si>
    <t>2～3</t>
  </si>
  <si>
    <t>学校版基準</t>
    <rPh sb="0" eb="2">
      <t>ガッコウ</t>
    </rPh>
    <rPh sb="2" eb="3">
      <t>バン</t>
    </rPh>
    <rPh sb="3" eb="5">
      <t>キジュン</t>
    </rPh>
    <phoneticPr fontId="21"/>
  </si>
  <si>
    <t>一般地域</t>
    <rPh sb="0" eb="2">
      <t>イッパン</t>
    </rPh>
    <rPh sb="2" eb="4">
      <t>チイキ</t>
    </rPh>
    <phoneticPr fontId="2"/>
  </si>
  <si>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4" type="noConversion"/>
  </si>
  <si>
    <t>年間延床面積あたり指標</t>
    <rPh sb="0" eb="2">
      <t>ネンカン</t>
    </rPh>
    <rPh sb="2" eb="3">
      <t>ノ</t>
    </rPh>
    <rPh sb="3" eb="6">
      <t>ユカメンセキ</t>
    </rPh>
    <rPh sb="9" eb="11">
      <t>シヒョウ</t>
    </rPh>
    <phoneticPr fontId="21"/>
  </si>
  <si>
    <t>プルダウン選択肢</t>
    <rPh sb="5" eb="8">
      <t>センタクシ</t>
    </rPh>
    <phoneticPr fontId="21"/>
  </si>
  <si>
    <t>　レベル　2</t>
  </si>
  <si>
    <t>■レベル　2</t>
  </si>
  <si>
    <t>45＜ [騒音レベル] ≦50</t>
    <phoneticPr fontId="21"/>
  </si>
  <si>
    <t>40＜ [騒音レベル] ≦45</t>
    <phoneticPr fontId="21"/>
  </si>
  <si>
    <t>50＜ [騒音レベル] ≦55</t>
    <phoneticPr fontId="21"/>
  </si>
  <si>
    <t>35＜ [騒音レベル] ≦40</t>
    <phoneticPr fontId="21"/>
  </si>
  <si>
    <t>　レベル　3</t>
  </si>
  <si>
    <t>■レベル　3</t>
  </si>
  <si>
    <t>30＜ [騒音レベル] ≦35</t>
    <phoneticPr fontId="21"/>
  </si>
  <si>
    <t>35＜ [騒音レベル] ≦45</t>
    <phoneticPr fontId="21"/>
  </si>
  <si>
    <t>小中（北海道）</t>
    <rPh sb="0" eb="1">
      <t>ショウ</t>
    </rPh>
    <rPh sb="1" eb="2">
      <t>チュウ</t>
    </rPh>
    <rPh sb="3" eb="6">
      <t>ホッカイドウ</t>
    </rPh>
    <phoneticPr fontId="21"/>
  </si>
  <si>
    <t>小中（その他）</t>
    <rPh sb="0" eb="2">
      <t>ショウチュウ</t>
    </rPh>
    <rPh sb="5" eb="6">
      <t>ホカ</t>
    </rPh>
    <phoneticPr fontId="21"/>
  </si>
  <si>
    <t>kg-CO2/MJ</t>
    <phoneticPr fontId="21"/>
  </si>
  <si>
    <t>評価ﾚﾍﾞﾙ</t>
    <phoneticPr fontId="21"/>
  </si>
  <si>
    <t>ratio</t>
    <phoneticPr fontId="21"/>
  </si>
  <si>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1"/>
  </si>
  <si>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1"/>
  </si>
  <si>
    <t>&lt;評価しない&gt;</t>
    <rPh sb="1" eb="3">
      <t>ヒョウカ</t>
    </rPh>
    <phoneticPr fontId="21"/>
  </si>
  <si>
    <t>音環境</t>
    <rPh sb="0" eb="1">
      <t>オト</t>
    </rPh>
    <rPh sb="1" eb="3">
      <t>カンキョウ</t>
    </rPh>
    <phoneticPr fontId="21"/>
  </si>
  <si>
    <t>建物全体・共用部分</t>
    <phoneticPr fontId="21"/>
  </si>
  <si>
    <t>重み係数(既定）＝</t>
    <rPh sb="0" eb="1">
      <t>オモ</t>
    </rPh>
    <rPh sb="2" eb="4">
      <t>ケイスウ</t>
    </rPh>
    <rPh sb="5" eb="7">
      <t>キテイ</t>
    </rPh>
    <phoneticPr fontId="21"/>
  </si>
  <si>
    <t>学(小中高)</t>
    <rPh sb="0" eb="1">
      <t>ガク</t>
    </rPh>
    <rPh sb="2" eb="5">
      <t>ショウチュウコウ</t>
    </rPh>
    <phoneticPr fontId="21"/>
  </si>
  <si>
    <t>病・ホ・住</t>
    <rPh sb="0" eb="1">
      <t>ビョウ</t>
    </rPh>
    <rPh sb="4" eb="5">
      <t>ジュウ</t>
    </rPh>
    <phoneticPr fontId="21"/>
  </si>
  <si>
    <t>50＜ [騒音レベル]</t>
  </si>
  <si>
    <t>45＜ [騒音レベル]</t>
  </si>
  <si>
    <t>55＜ [騒音レベル]</t>
    <phoneticPr fontId="21"/>
  </si>
  <si>
    <t>40＜ [騒音レベル]</t>
  </si>
  <si>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1"/>
  </si>
  <si>
    <r>
      <t>kg-CO</t>
    </r>
    <r>
      <rPr>
        <vertAlign val="subscript"/>
        <sz val="9"/>
        <rFont val="ＭＳ Ｐゴシック"/>
        <family val="3"/>
        <charset val="128"/>
      </rPr>
      <t>2</t>
    </r>
    <r>
      <rPr>
        <sz val="9"/>
        <rFont val="ＭＳ Ｐゴシック"/>
        <family val="3"/>
        <charset val="128"/>
      </rPr>
      <t>/年㎡</t>
    </r>
    <rPh sb="7" eb="8">
      <t>ネン</t>
    </rPh>
    <phoneticPr fontId="21"/>
  </si>
  <si>
    <t>HFC－245ca</t>
  </si>
  <si>
    <t>FC－14</t>
  </si>
  <si>
    <t>FC－116</t>
  </si>
  <si>
    <t>FC－218</t>
  </si>
  <si>
    <t>FC－C318</t>
  </si>
  <si>
    <t>対象外</t>
    <rPh sb="0" eb="2">
      <t>タイショウ</t>
    </rPh>
    <rPh sb="2" eb="3">
      <t>ガイ</t>
    </rPh>
    <phoneticPr fontId="21"/>
  </si>
  <si>
    <t>発泡断熱材種別</t>
    <rPh sb="0" eb="2">
      <t>ハッポウ</t>
    </rPh>
    <rPh sb="2" eb="5">
      <t>ダンネツザイ</t>
    </rPh>
    <rPh sb="5" eb="7">
      <t>シュベツ</t>
    </rPh>
    <phoneticPr fontId="21"/>
  </si>
  <si>
    <t>使用年代</t>
    <rPh sb="0" eb="2">
      <t>シヨウ</t>
    </rPh>
    <rPh sb="2" eb="4">
      <t>ネンダイ</t>
    </rPh>
    <phoneticPr fontId="21"/>
  </si>
  <si>
    <t>発泡剤物質名</t>
    <rPh sb="0" eb="2">
      <t>ハッポウ</t>
    </rPh>
    <rPh sb="2" eb="3">
      <t>ザイ</t>
    </rPh>
    <rPh sb="3" eb="5">
      <t>ブッシツ</t>
    </rPh>
    <rPh sb="5" eb="6">
      <t>メイ</t>
    </rPh>
    <phoneticPr fontId="21"/>
  </si>
  <si>
    <r>
      <t>ＧＷＰ</t>
    </r>
    <r>
      <rPr>
        <sz val="6"/>
        <rFont val="ＭＳ Ｐゴシック"/>
        <family val="3"/>
        <charset val="128"/>
      </rPr>
      <t>（100年値）</t>
    </r>
    <rPh sb="7" eb="8">
      <t>ネン</t>
    </rPh>
    <rPh sb="8" eb="9">
      <t>アタイ</t>
    </rPh>
    <phoneticPr fontId="21"/>
  </si>
  <si>
    <t>ウレタンフォーム</t>
  </si>
  <si>
    <t>1995年以前</t>
    <rPh sb="4" eb="5">
      <t>ネン</t>
    </rPh>
    <rPh sb="5" eb="7">
      <t>イゼン</t>
    </rPh>
    <phoneticPr fontId="21"/>
  </si>
  <si>
    <t>2.3.2</t>
    <phoneticPr fontId="21"/>
  </si>
  <si>
    <t>2.3.3</t>
    <phoneticPr fontId="21"/>
  </si>
  <si>
    <t xml:space="preserve"> Q2 2.3</t>
    <phoneticPr fontId="21"/>
  </si>
  <si>
    <t>2.3.3</t>
    <phoneticPr fontId="21"/>
  </si>
  <si>
    <t>2.4.1</t>
    <phoneticPr fontId="21"/>
  </si>
  <si>
    <t>3.1.1</t>
    <phoneticPr fontId="21"/>
  </si>
  <si>
    <t>3.1.2</t>
    <phoneticPr fontId="21"/>
  </si>
  <si>
    <t>3.3.1</t>
    <phoneticPr fontId="21"/>
  </si>
  <si>
    <t>3.3.2</t>
    <phoneticPr fontId="21"/>
  </si>
  <si>
    <t>3.3.3</t>
    <phoneticPr fontId="21"/>
  </si>
  <si>
    <t>3.3.4</t>
    <phoneticPr fontId="21"/>
  </si>
  <si>
    <t>3.3.5</t>
    <phoneticPr fontId="21"/>
  </si>
  <si>
    <t>3.3.6</t>
    <phoneticPr fontId="21"/>
  </si>
  <si>
    <t>Q3</t>
    <phoneticPr fontId="21"/>
  </si>
  <si>
    <t>室外環境（敷地内）</t>
    <phoneticPr fontId="21"/>
  </si>
  <si>
    <t>まちなみ・景観への配慮</t>
    <phoneticPr fontId="21"/>
  </si>
  <si>
    <t>地域性・アメニティへの配慮</t>
    <phoneticPr fontId="21"/>
  </si>
  <si>
    <t>3.1</t>
    <phoneticPr fontId="21"/>
  </si>
  <si>
    <t>3.2</t>
    <phoneticPr fontId="21"/>
  </si>
  <si>
    <t>敷地内温熱環境の向上</t>
    <phoneticPr fontId="21"/>
  </si>
  <si>
    <t>LR</t>
    <phoneticPr fontId="34" type="noConversion"/>
  </si>
  <si>
    <t>LR</t>
    <phoneticPr fontId="34" type="noConversion"/>
  </si>
  <si>
    <t>LR1</t>
    <phoneticPr fontId="34" type="noConversion"/>
  </si>
  <si>
    <t>LR</t>
    <phoneticPr fontId="21"/>
  </si>
  <si>
    <t>エネルギー</t>
    <phoneticPr fontId="21"/>
  </si>
  <si>
    <t>2.1</t>
    <phoneticPr fontId="21"/>
  </si>
  <si>
    <t>2.2</t>
    <phoneticPr fontId="21"/>
  </si>
  <si>
    <t>3a</t>
    <phoneticPr fontId="21"/>
  </si>
  <si>
    <t>LR1 3</t>
    <phoneticPr fontId="21"/>
  </si>
  <si>
    <t>LR1 3b</t>
    <phoneticPr fontId="21"/>
  </si>
  <si>
    <t>LR</t>
    <phoneticPr fontId="21"/>
  </si>
  <si>
    <t>地域区分Ⅰ</t>
    <phoneticPr fontId="21"/>
  </si>
  <si>
    <t>2.6</t>
    <phoneticPr fontId="21"/>
  </si>
  <si>
    <t>3.1</t>
    <phoneticPr fontId="21"/>
  </si>
  <si>
    <t>3.1</t>
    <phoneticPr fontId="21"/>
  </si>
  <si>
    <t>3.2</t>
    <phoneticPr fontId="21"/>
  </si>
  <si>
    <t>3.2.1</t>
    <phoneticPr fontId="21"/>
  </si>
  <si>
    <t>消火剤</t>
    <phoneticPr fontId="21"/>
  </si>
  <si>
    <t>3.2.2</t>
    <phoneticPr fontId="21"/>
  </si>
  <si>
    <t>(blank star)</t>
    <phoneticPr fontId="21"/>
  </si>
  <si>
    <t>LCCO2(kg-CO2/ym2)</t>
    <phoneticPr fontId="21"/>
  </si>
  <si>
    <t>オンサイト</t>
    <phoneticPr fontId="21"/>
  </si>
  <si>
    <t>オフサイト</t>
    <phoneticPr fontId="21"/>
  </si>
  <si>
    <t>％</t>
    <phoneticPr fontId="21"/>
  </si>
  <si>
    <t>Sum</t>
    <phoneticPr fontId="21"/>
  </si>
  <si>
    <r>
      <t>2-4</t>
    </r>
    <r>
      <rPr>
        <b/>
        <sz val="12"/>
        <color indexed="9"/>
        <rFont val="ＭＳ Ｐゴシック"/>
        <family val="3"/>
        <charset val="128"/>
      </rPr>
      <t>　中項目の評価（バーチャート）</t>
    </r>
    <phoneticPr fontId="21"/>
  </si>
  <si>
    <t>Q-2 サービス性能</t>
    <phoneticPr fontId="21"/>
  </si>
  <si>
    <t>Score(RoundDown)</t>
    <phoneticPr fontId="21"/>
  </si>
  <si>
    <t>NA</t>
    <phoneticPr fontId="21"/>
  </si>
  <si>
    <t>まちなみ景観</t>
    <phoneticPr fontId="21"/>
  </si>
  <si>
    <r>
      <t>LR</t>
    </r>
    <r>
      <rPr>
        <b/>
        <sz val="11"/>
        <color indexed="42"/>
        <rFont val="ＭＳ Ｐゴシック"/>
        <family val="3"/>
        <charset val="128"/>
      </rPr>
      <t>　環境負荷低減性</t>
    </r>
    <phoneticPr fontId="21"/>
  </si>
  <si>
    <r>
      <t>LR</t>
    </r>
    <r>
      <rPr>
        <b/>
        <i/>
        <sz val="14"/>
        <color indexed="9"/>
        <rFont val="ＭＳ Ｐゴシック"/>
        <family val="3"/>
        <charset val="128"/>
      </rPr>
      <t>のスコア</t>
    </r>
    <r>
      <rPr>
        <b/>
        <i/>
        <sz val="14"/>
        <color indexed="9"/>
        <rFont val="Arial"/>
        <family val="2"/>
      </rPr>
      <t>=</t>
    </r>
    <phoneticPr fontId="21"/>
  </si>
  <si>
    <t>Score(RoundDown)</t>
    <phoneticPr fontId="21"/>
  </si>
  <si>
    <t>Score</t>
    <phoneticPr fontId="21"/>
  </si>
  <si>
    <t>LR-1 エネルギー</t>
    <phoneticPr fontId="21"/>
  </si>
  <si>
    <t>Score(RoundDown)</t>
    <phoneticPr fontId="21"/>
  </si>
  <si>
    <t>NA</t>
    <phoneticPr fontId="21"/>
  </si>
  <si>
    <t>集成材</t>
    <rPh sb="0" eb="3">
      <t>シュウセイザイ</t>
    </rPh>
    <phoneticPr fontId="21"/>
  </si>
  <si>
    <t>鉄鋼スラグ混入路盤材</t>
    <rPh sb="0" eb="2">
      <t>テッコウ</t>
    </rPh>
    <rPh sb="5" eb="7">
      <t>コンニュウ</t>
    </rPh>
    <rPh sb="7" eb="10">
      <t>ロバンザイ</t>
    </rPh>
    <phoneticPr fontId="21"/>
  </si>
  <si>
    <t>木質系セメント板</t>
    <rPh sb="0" eb="2">
      <t>モクシツ</t>
    </rPh>
    <rPh sb="2" eb="3">
      <t>ケイ</t>
    </rPh>
    <rPh sb="7" eb="8">
      <t>イタ</t>
    </rPh>
    <phoneticPr fontId="21"/>
  </si>
  <si>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</si>
  <si>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</si>
  <si>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</si>
  <si>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</si>
  <si>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t>屋外用品（土木建築用品：小丸太）</t>
  </si>
  <si>
    <t>屋内用品（ドア）</t>
  </si>
  <si>
    <t>屋外用品（土木建築用品：集成材）</t>
  </si>
  <si>
    <t>屋外用品（土木建築用品：合板）</t>
  </si>
  <si>
    <t>屋外用品（エクステリア）</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</si>
  <si>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</si>
  <si>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</si>
  <si>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</si>
  <si>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</si>
  <si>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</si>
  <si>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</si>
  <si>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</si>
  <si>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</si>
  <si>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</si>
  <si>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</si>
  <si>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</si>
  <si>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</si>
  <si>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</si>
  <si>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</si>
  <si>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</si>
  <si>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</si>
  <si>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</si>
  <si>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</si>
  <si>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</si>
  <si>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</si>
  <si>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</si>
  <si>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</si>
  <si>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</si>
  <si>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</si>
  <si>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t>
    <rPh sb="0" eb="2">
      <t>ジゾク</t>
    </rPh>
    <rPh sb="2" eb="4">
      <t>カノウ</t>
    </rPh>
    <rPh sb="5" eb="7">
      <t>シンリン</t>
    </rPh>
    <rPh sb="9" eb="11">
      <t>サンシュツ</t>
    </rPh>
    <rPh sb="14" eb="16">
      <t>モクザイ</t>
    </rPh>
    <phoneticPr fontId="21"/>
  </si>
  <si>
    <t>持続可能な森林から産出された木材の使用比率が10％以上50％未満。</t>
  </si>
  <si>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</si>
  <si>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1"/>
  </si>
  <si>
    <t>躯体と仕上げ材が容易に分別可能となっている</t>
  </si>
  <si>
    <t>学(小中高)・住</t>
    <rPh sb="0" eb="1">
      <t>ガク</t>
    </rPh>
    <rPh sb="2" eb="3">
      <t>ショウ</t>
    </rPh>
    <rPh sb="3" eb="4">
      <t>チュウ</t>
    </rPh>
    <rPh sb="4" eb="5">
      <t>コウ</t>
    </rPh>
    <rPh sb="7" eb="8">
      <t>ジュウ</t>
    </rPh>
    <phoneticPr fontId="21"/>
  </si>
  <si>
    <t>建物全体・共用部分</t>
    <phoneticPr fontId="21"/>
  </si>
  <si>
    <t>学（小中高）</t>
    <phoneticPr fontId="21"/>
  </si>
  <si>
    <t>事・学・物・飲・会・病・ホ・工・住</t>
    <phoneticPr fontId="21"/>
  </si>
  <si>
    <t>昼光利用設備がある。</t>
    <phoneticPr fontId="21"/>
  </si>
  <si>
    <t>建物全体・共用部分</t>
    <phoneticPr fontId="21"/>
  </si>
  <si>
    <t>-</t>
    <phoneticPr fontId="21"/>
  </si>
  <si>
    <t>水平方向から見て光源が露出せずグレアを制限している器具。G2分類の器具。</t>
    <phoneticPr fontId="21"/>
  </si>
  <si>
    <t>何もない。</t>
    <phoneticPr fontId="21"/>
  </si>
  <si>
    <t>レベル３を満たさない。</t>
    <phoneticPr fontId="21"/>
  </si>
  <si>
    <t>教室内で視界に見え方を妨害するような「まぶしさ」を感じさせる強い光源がないこと。
（解説（ア）～（ウ））</t>
    <phoneticPr fontId="21"/>
  </si>
  <si>
    <t>判定基準</t>
    <phoneticPr fontId="21"/>
  </si>
  <si>
    <t>建物全体・共用部分</t>
    <phoneticPr fontId="21"/>
  </si>
  <si>
    <t>学</t>
    <phoneticPr fontId="21"/>
  </si>
  <si>
    <t>病(待)</t>
    <phoneticPr fontId="21"/>
  </si>
  <si>
    <t>ホ</t>
    <phoneticPr fontId="21"/>
  </si>
  <si>
    <t>病</t>
    <phoneticPr fontId="21"/>
  </si>
  <si>
    <t>予備スリーブを用いれば構造部材を痛めることなく空調配管の更新・修繕ができる場合もあるが全ての配管の更新・修繕には対応できない。</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</si>
  <si>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1"/>
  </si>
  <si>
    <t>構造部材を痛めなければ電気配線の更新・修繕ができない。</t>
  </si>
  <si>
    <t>構造部材を痛めなければ通信配線の更新・修繕ができない。</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</si>
  <si>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</si>
  <si>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1"/>
  </si>
  <si>
    <t>バックアップ設備のためのスペースが計画的に確保されていない。</t>
  </si>
  <si>
    <t>11年以上～20年未満</t>
  </si>
  <si>
    <t>25年以上</t>
  </si>
  <si>
    <t>昼間</t>
    <phoneticPr fontId="21"/>
  </si>
  <si>
    <t>朝・夕</t>
    <phoneticPr fontId="21"/>
  </si>
  <si>
    <t>夜間</t>
    <phoneticPr fontId="21"/>
  </si>
  <si>
    <t>35dB以下</t>
    <phoneticPr fontId="21"/>
  </si>
  <si>
    <t>30dB以下</t>
    <phoneticPr fontId="21"/>
  </si>
  <si>
    <t>昼間</t>
    <phoneticPr fontId="21"/>
  </si>
  <si>
    <t>朝・夕</t>
    <phoneticPr fontId="21"/>
  </si>
  <si>
    <t>夜間</t>
    <phoneticPr fontId="21"/>
  </si>
  <si>
    <r>
      <t xml:space="preserve">3.1.2 </t>
    </r>
    <r>
      <rPr>
        <b/>
        <sz val="10"/>
        <rFont val="ＭＳ Ｐゴシック"/>
        <family val="3"/>
        <charset val="128"/>
      </rPr>
      <t>振動</t>
    </r>
    <phoneticPr fontId="21"/>
  </si>
  <si>
    <r>
      <t xml:space="preserve">3.1.1 </t>
    </r>
    <r>
      <rPr>
        <b/>
        <sz val="10"/>
        <rFont val="ＭＳ Ｐゴシック"/>
        <family val="3"/>
        <charset val="128"/>
      </rPr>
      <t>階高のゆとり</t>
    </r>
    <phoneticPr fontId="21"/>
  </si>
  <si>
    <t>病・ホ</t>
    <phoneticPr fontId="21"/>
  </si>
  <si>
    <t>住</t>
    <phoneticPr fontId="21"/>
  </si>
  <si>
    <t>3.3ｍ未満</t>
    <phoneticPr fontId="21"/>
  </si>
  <si>
    <t>3.1ｍ未満</t>
    <phoneticPr fontId="21"/>
  </si>
  <si>
    <t>2.7ｍ未満</t>
    <phoneticPr fontId="21"/>
  </si>
  <si>
    <t>3.9ｍ以上</t>
    <phoneticPr fontId="21"/>
  </si>
  <si>
    <t>3.7ｍ以上</t>
    <phoneticPr fontId="21"/>
  </si>
  <si>
    <t>3.0ｍ以上</t>
    <phoneticPr fontId="21"/>
  </si>
  <si>
    <r>
      <t xml:space="preserve">3.1.2 </t>
    </r>
    <r>
      <rPr>
        <b/>
        <sz val="10"/>
        <rFont val="ＭＳ Ｐゴシック"/>
        <family val="3"/>
        <charset val="128"/>
      </rPr>
      <t>空間の形状・自由さ</t>
    </r>
    <phoneticPr fontId="21"/>
  </si>
  <si>
    <t>建物全体・共用部分</t>
    <phoneticPr fontId="21"/>
  </si>
  <si>
    <t>設備システムの高効率化</t>
    <rPh sb="0" eb="2">
      <t>セツビ</t>
    </rPh>
    <rPh sb="7" eb="11">
      <t>コウコウリツカ</t>
    </rPh>
    <phoneticPr fontId="21"/>
  </si>
  <si>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</si>
  <si>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1"/>
  </si>
  <si>
    <t>心理性・快適性</t>
    <rPh sb="0" eb="2">
      <t>シンリ</t>
    </rPh>
    <rPh sb="2" eb="3">
      <t>セイ</t>
    </rPh>
    <rPh sb="4" eb="6">
      <t>カイテキ</t>
    </rPh>
    <rPh sb="6" eb="7">
      <t>セイ</t>
    </rPh>
    <phoneticPr fontId="21"/>
  </si>
  <si>
    <t>既存は事務所のみ評価</t>
    <rPh sb="0" eb="2">
      <t>キソン</t>
    </rPh>
    <rPh sb="3" eb="5">
      <t>ジム</t>
    </rPh>
    <rPh sb="5" eb="6">
      <t>ショ</t>
    </rPh>
    <rPh sb="8" eb="10">
      <t>ヒョウカ</t>
    </rPh>
    <phoneticPr fontId="21"/>
  </si>
  <si>
    <t>物・飲</t>
    <rPh sb="0" eb="1">
      <t>モノ</t>
    </rPh>
    <rPh sb="2" eb="3">
      <t>イン</t>
    </rPh>
    <phoneticPr fontId="21"/>
  </si>
  <si>
    <t>３０年以上</t>
  </si>
  <si>
    <t>＜評価しない＞</t>
    <rPh sb="1" eb="3">
      <t>ヒョウカ</t>
    </rPh>
    <phoneticPr fontId="21"/>
  </si>
  <si>
    <t>既存で評価</t>
    <rPh sb="0" eb="2">
      <t>キソン</t>
    </rPh>
    <rPh sb="3" eb="5">
      <t>ヒョウカ</t>
    </rPh>
    <phoneticPr fontId="21"/>
  </si>
  <si>
    <t>メンテナンス記録がなく判定不可能。</t>
  </si>
  <si>
    <t>全て耐用年数を超えている。</t>
  </si>
  <si>
    <t>全て耐用年数以内である。</t>
  </si>
  <si>
    <t>建物全体・共用部分</t>
    <phoneticPr fontId="21"/>
  </si>
  <si>
    <t>5℃＜ [上下温度差]</t>
    <phoneticPr fontId="21"/>
  </si>
  <si>
    <t>2℃＜ [上下温度差] ≦5℃</t>
    <phoneticPr fontId="21"/>
  </si>
  <si>
    <t>[昼光率] ＜0.5％</t>
    <phoneticPr fontId="21"/>
  </si>
  <si>
    <t>0.75％≦ [昼光率] ＜1.0％</t>
    <phoneticPr fontId="21"/>
  </si>
  <si>
    <t>集合住宅の評価</t>
    <rPh sb="0" eb="2">
      <t>シュウゴウ</t>
    </rPh>
    <rPh sb="2" eb="4">
      <t>ジュウタク</t>
    </rPh>
    <rPh sb="5" eb="7">
      <t>ヒョウカ</t>
    </rPh>
    <phoneticPr fontId="21"/>
  </si>
  <si>
    <t>LR2</t>
  </si>
  <si>
    <t>LR3</t>
  </si>
  <si>
    <t>〃</t>
  </si>
  <si>
    <t>代表的な資材の環境負荷</t>
    <rPh sb="0" eb="3">
      <t>ダイヒョウテキ</t>
    </rPh>
    <rPh sb="4" eb="6">
      <t>シザイ</t>
    </rPh>
    <rPh sb="7" eb="9">
      <t>カンキョウ</t>
    </rPh>
    <rPh sb="9" eb="11">
      <t>フカ</t>
    </rPh>
    <phoneticPr fontId="21"/>
  </si>
  <si>
    <t>建設
段階</t>
    <rPh sb="0" eb="2">
      <t>ケンセツ</t>
    </rPh>
    <rPh sb="3" eb="5">
      <t>ダンカイ</t>
    </rPh>
    <phoneticPr fontId="21"/>
  </si>
  <si>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1"/>
  </si>
  <si>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1"/>
  </si>
  <si>
    <t>住まい方の提示</t>
    <rPh sb="5" eb="7">
      <t>テイジ</t>
    </rPh>
    <phoneticPr fontId="3"/>
  </si>
  <si>
    <t>エネルギーの管理と制御</t>
  </si>
  <si>
    <t>取組みなし。</t>
  </si>
  <si>
    <t>設備毎の取扱説明書が居住者に手渡されている。</t>
  </si>
  <si>
    <t>4.1.1</t>
    <phoneticPr fontId="21"/>
  </si>
  <si>
    <t>4.1.2</t>
    <phoneticPr fontId="21"/>
  </si>
  <si>
    <t>4.2.1</t>
    <phoneticPr fontId="21"/>
  </si>
  <si>
    <t>4.2.2</t>
    <phoneticPr fontId="21"/>
  </si>
  <si>
    <t>LR1 4.1</t>
    <phoneticPr fontId="21"/>
  </si>
  <si>
    <t>LR1 4.1</t>
    <phoneticPr fontId="21"/>
  </si>
  <si>
    <t>LR1 4.2</t>
    <phoneticPr fontId="21"/>
  </si>
  <si>
    <t>住宅以外の評価</t>
    <rPh sb="0" eb="2">
      <t>じゅうたく</t>
    </rPh>
    <rPh sb="2" eb="4">
      <t>いがい</t>
    </rPh>
    <rPh sb="5" eb="7">
      <t>ひょうか</t>
    </rPh>
    <phoneticPr fontId="34" type="noConversion"/>
  </si>
  <si>
    <t>住宅の評価</t>
    <rPh sb="0" eb="2">
      <t>じゅうたく</t>
    </rPh>
    <rPh sb="3" eb="5">
      <t>ひょうか</t>
    </rPh>
    <phoneticPr fontId="34" type="noConversion"/>
  </si>
  <si>
    <t>躯体材料以外におけるリサイクル材の使用</t>
  </si>
  <si>
    <t>LPG</t>
  </si>
  <si>
    <t>LPG</t>
    <phoneticPr fontId="21"/>
  </si>
  <si>
    <t>kg-CO2/MJ</t>
    <phoneticPr fontId="21"/>
  </si>
  <si>
    <t>⑩　天井隠蔽機器の点検口は600mm×600mm以上としている。</t>
    <phoneticPr fontId="21"/>
  </si>
  <si>
    <t>⑫　専用部以外の諸設備は共用部での維持管理作業が可能となっている。</t>
    <phoneticPr fontId="21"/>
  </si>
  <si>
    <t>⑪　専用部以外の諸設備は共用部での維持管理作業が可能となっている。</t>
    <phoneticPr fontId="21"/>
  </si>
  <si>
    <t>（１）</t>
    <phoneticPr fontId="1"/>
  </si>
  <si>
    <t>（２）</t>
    <phoneticPr fontId="1"/>
  </si>
  <si>
    <t>（３）</t>
    <phoneticPr fontId="1"/>
  </si>
  <si>
    <t>ポイント</t>
    <phoneticPr fontId="21"/>
  </si>
  <si>
    <t>空調管理は何も実施していない。</t>
    <phoneticPr fontId="21"/>
  </si>
  <si>
    <t>-1（レベル2）</t>
    <phoneticPr fontId="21"/>
  </si>
  <si>
    <t>延床面積比率</t>
    <rPh sb="0" eb="4">
      <t>ノベユカメンセキ</t>
    </rPh>
    <rPh sb="4" eb="6">
      <t>ヒリツ</t>
    </rPh>
    <phoneticPr fontId="21"/>
  </si>
  <si>
    <t>ﾚﾍﾞﾙ３</t>
  </si>
  <si>
    <t>ﾚﾍﾞﾙ４</t>
  </si>
  <si>
    <t>ﾚﾍﾞﾙ５</t>
  </si>
  <si>
    <t>建物全体・共用部分</t>
    <phoneticPr fontId="21"/>
  </si>
  <si>
    <t>住</t>
    <phoneticPr fontId="21"/>
  </si>
  <si>
    <t>レベル３を満たさない。</t>
    <phoneticPr fontId="21"/>
  </si>
  <si>
    <t>評価する取組み表の評価ポイントの合計値が1ポイント</t>
    <phoneticPr fontId="21"/>
  </si>
  <si>
    <t>評価する取組み表の評価ポイントの合計値が2ポイント</t>
    <phoneticPr fontId="21"/>
  </si>
  <si>
    <t>評価する取組み表の評価ポイントの合計値が3ポイント</t>
    <phoneticPr fontId="21"/>
  </si>
  <si>
    <t>評価する取組み表の評価ポイントの合計値が4ポイント以上</t>
    <phoneticPr fontId="21"/>
  </si>
  <si>
    <t>I 自転車の利用（代替交通手段の利用）に関する取組み</t>
    <phoneticPr fontId="21"/>
  </si>
  <si>
    <t>2) その他（記述）</t>
    <phoneticPr fontId="21"/>
  </si>
  <si>
    <t>II 駐車場の確保に関する取組み</t>
    <phoneticPr fontId="21"/>
  </si>
  <si>
    <t>1) 適切な量の駐車スペースの確保（周辺道路に渋滞や路上駐車などを発生させないための措置として）</t>
    <phoneticPr fontId="21"/>
  </si>
  <si>
    <t>2) 管理用車両や荷捌き用車両の駐車施設の確保</t>
    <rPh sb="3" eb="6">
      <t>カンリヨウ</t>
    </rPh>
    <rPh sb="6" eb="8">
      <t>シャリョウ</t>
    </rPh>
    <phoneticPr fontId="21"/>
  </si>
  <si>
    <t>3) 駐車場の導入路（出入り口など）の位置や形状・数への配慮（周辺道路の渋滞緩和に資するもの）</t>
    <phoneticPr fontId="21"/>
  </si>
  <si>
    <t>4) その他（記述）</t>
    <phoneticPr fontId="21"/>
  </si>
  <si>
    <t>評価する取組み表の評価ポイントの合計値が1ポイント以下</t>
    <phoneticPr fontId="21"/>
  </si>
  <si>
    <t>評価する取組み表の評価ポイントの合計値が0ポイント</t>
    <phoneticPr fontId="21"/>
  </si>
  <si>
    <t>評価する取組み表の評価ポイントの合計値が2ポイント</t>
    <phoneticPr fontId="21"/>
  </si>
  <si>
    <t>評価する取組み表の評価ポイントの合計値が1ポイント</t>
    <phoneticPr fontId="21"/>
  </si>
  <si>
    <t>室内空調機からの騒音</t>
    <rPh sb="8" eb="10">
      <t>ソウオン</t>
    </rPh>
    <phoneticPr fontId="21"/>
  </si>
  <si>
    <t>１６年以上～３０年未満</t>
  </si>
  <si>
    <r>
      <t>4.3.1 CO</t>
    </r>
    <r>
      <rPr>
        <b/>
        <vertAlign val="subscript"/>
        <sz val="10"/>
        <rFont val="Arial"/>
        <family val="2"/>
      </rPr>
      <t>2</t>
    </r>
    <r>
      <rPr>
        <b/>
        <sz val="10"/>
        <rFont val="ＭＳ Ｐゴシック"/>
        <family val="3"/>
        <charset val="128"/>
      </rPr>
      <t>の監視</t>
    </r>
    <rPh sb="10" eb="12">
      <t>カンシ</t>
    </rPh>
    <phoneticPr fontId="21"/>
  </si>
  <si>
    <t>建物全体・共用部分</t>
    <phoneticPr fontId="21"/>
  </si>
  <si>
    <r>
      <t>Q2</t>
    </r>
    <r>
      <rPr>
        <b/>
        <sz val="14"/>
        <rFont val="ＭＳ Ｐゴシック"/>
        <family val="3"/>
        <charset val="128"/>
      </rPr>
      <t>　サービス性能</t>
    </r>
    <rPh sb="7" eb="9">
      <t>セイノウ</t>
    </rPh>
    <phoneticPr fontId="21"/>
  </si>
  <si>
    <t>はい</t>
    <phoneticPr fontId="21"/>
  </si>
  <si>
    <t>いいえ</t>
    <phoneticPr fontId="21"/>
  </si>
  <si>
    <t>ホ</t>
    <phoneticPr fontId="21"/>
  </si>
  <si>
    <t>　レベル　1</t>
    <phoneticPr fontId="21"/>
  </si>
  <si>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</si>
  <si>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</si>
  <si>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</si>
  <si>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</si>
  <si>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</si>
  <si>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1"/>
  </si>
  <si>
    <t>2,000㎡未満の基準で評価する。</t>
    <rPh sb="6" eb="8">
      <t>ミマン</t>
    </rPh>
    <rPh sb="9" eb="11">
      <t>キジュン</t>
    </rPh>
    <rPh sb="12" eb="14">
      <t>ヒョウカ</t>
    </rPh>
    <phoneticPr fontId="21"/>
  </si>
  <si>
    <t>評価対象外</t>
    <rPh sb="0" eb="2">
      <t>ヒョウカ</t>
    </rPh>
    <rPh sb="2" eb="4">
      <t>タイショウ</t>
    </rPh>
    <rPh sb="4" eb="5">
      <t>ガイ</t>
    </rPh>
    <phoneticPr fontId="21"/>
  </si>
  <si>
    <t>■レベル　1</t>
    <phoneticPr fontId="21"/>
  </si>
  <si>
    <t>レベル</t>
    <phoneticPr fontId="21"/>
  </si>
  <si>
    <t>ビル用マルチCOP評価</t>
  </si>
  <si>
    <t>個別分散空調システムの効率評価</t>
  </si>
  <si>
    <t>変風量制御の評価</t>
  </si>
  <si>
    <t>各種制御の評価</t>
  </si>
  <si>
    <t>その他</t>
  </si>
  <si>
    <t>CGS評価</t>
  </si>
  <si>
    <t>各種連携制御</t>
    <rPh sb="0" eb="2">
      <t>カクシュ</t>
    </rPh>
    <rPh sb="2" eb="4">
      <t>レンケイ</t>
    </rPh>
    <rPh sb="4" eb="6">
      <t>セイギョ</t>
    </rPh>
    <phoneticPr fontId="21"/>
  </si>
  <si>
    <t>居室面積の1/8以上の開閉可能な窓を確保している。</t>
  </si>
  <si>
    <t>3.2.3</t>
    <phoneticPr fontId="21"/>
  </si>
  <si>
    <t>LR3</t>
    <phoneticPr fontId="34" type="noConversion"/>
  </si>
  <si>
    <t>LR</t>
    <phoneticPr fontId="21"/>
  </si>
  <si>
    <t>敷地外環境</t>
    <phoneticPr fontId="21"/>
  </si>
  <si>
    <t>2.1</t>
    <phoneticPr fontId="21"/>
  </si>
  <si>
    <t>2.1</t>
    <phoneticPr fontId="21"/>
  </si>
  <si>
    <t>2.2</t>
    <phoneticPr fontId="21"/>
  </si>
  <si>
    <t>2.3</t>
    <phoneticPr fontId="21"/>
  </si>
  <si>
    <t>2.3</t>
    <phoneticPr fontId="21"/>
  </si>
  <si>
    <t>2.3.1</t>
    <phoneticPr fontId="21"/>
  </si>
  <si>
    <t>2.3.2</t>
    <phoneticPr fontId="21"/>
  </si>
  <si>
    <t>2.3.3</t>
    <phoneticPr fontId="21"/>
  </si>
  <si>
    <t>2.3.3</t>
    <phoneticPr fontId="21"/>
  </si>
  <si>
    <t>2.3.4</t>
    <phoneticPr fontId="21"/>
  </si>
  <si>
    <t>2.3.4</t>
    <phoneticPr fontId="21"/>
  </si>
  <si>
    <t>3.1</t>
    <phoneticPr fontId="21"/>
  </si>
  <si>
    <t>3.1</t>
    <phoneticPr fontId="21"/>
  </si>
  <si>
    <t>3.1.1</t>
    <phoneticPr fontId="21"/>
  </si>
  <si>
    <t>3.1.1</t>
    <phoneticPr fontId="21"/>
  </si>
  <si>
    <t>3.1.2</t>
    <phoneticPr fontId="21"/>
  </si>
  <si>
    <t>3.1.3</t>
    <phoneticPr fontId="21"/>
  </si>
  <si>
    <t>3.2</t>
    <phoneticPr fontId="21"/>
  </si>
  <si>
    <t>3.2.1</t>
    <phoneticPr fontId="21"/>
  </si>
  <si>
    <t>風害の抑制</t>
    <phoneticPr fontId="34" type="noConversion"/>
  </si>
  <si>
    <t>3.2.2</t>
    <phoneticPr fontId="21"/>
  </si>
  <si>
    <t>LR3 3.2</t>
    <phoneticPr fontId="21"/>
  </si>
  <si>
    <t>3.2.3</t>
    <phoneticPr fontId="21"/>
  </si>
  <si>
    <t>3.3</t>
    <phoneticPr fontId="21"/>
  </si>
  <si>
    <t>3.3.1</t>
    <phoneticPr fontId="21"/>
  </si>
  <si>
    <t>屋外照明及び屋内照明のうち外に漏れる光への対策</t>
    <phoneticPr fontId="34" type="noConversion"/>
  </si>
  <si>
    <t>レベル</t>
    <phoneticPr fontId="21"/>
  </si>
  <si>
    <t>２０</t>
    <phoneticPr fontId="21"/>
  </si>
  <si>
    <t>２５</t>
    <phoneticPr fontId="21"/>
  </si>
  <si>
    <t>３０</t>
    <phoneticPr fontId="21"/>
  </si>
  <si>
    <t>３５</t>
    <phoneticPr fontId="21"/>
  </si>
  <si>
    <t>４０</t>
    <phoneticPr fontId="21"/>
  </si>
  <si>
    <t>４５</t>
    <phoneticPr fontId="21"/>
  </si>
  <si>
    <t>５０</t>
    <phoneticPr fontId="21"/>
  </si>
  <si>
    <t>５５</t>
    <phoneticPr fontId="21"/>
  </si>
  <si>
    <t>６０</t>
    <phoneticPr fontId="21"/>
  </si>
  <si>
    <t>ＮＣ～ＮＲ</t>
    <phoneticPr fontId="21"/>
  </si>
  <si>
    <t>１０～１５</t>
    <phoneticPr fontId="21"/>
  </si>
  <si>
    <t>１５～２０</t>
    <phoneticPr fontId="21"/>
  </si>
  <si>
    <t>２０～２５</t>
    <phoneticPr fontId="21"/>
  </si>
  <si>
    <t>評価内容</t>
    <rPh sb="0" eb="2">
      <t>ヒョウカ</t>
    </rPh>
    <rPh sb="2" eb="4">
      <t>ナイヨウ</t>
    </rPh>
    <phoneticPr fontId="21"/>
  </si>
  <si>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</si>
  <si>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1"/>
  </si>
  <si>
    <t>⑩　外装設計：外部に露出する金属部材にメッキ処理等の特別な防錆対策が取られている。</t>
  </si>
  <si>
    <t>評価項目</t>
    <rPh sb="0" eb="2">
      <t>ヒョウカ</t>
    </rPh>
    <rPh sb="2" eb="4">
      <t>コウモク</t>
    </rPh>
    <phoneticPr fontId="21"/>
  </si>
  <si>
    <t>評価ポイント</t>
    <rPh sb="0" eb="2">
      <t>ヒョウカ</t>
    </rPh>
    <phoneticPr fontId="21"/>
  </si>
  <si>
    <t>4) 感染症対策</t>
    <rPh sb="3" eb="6">
      <t>カンセンショウ</t>
    </rPh>
    <rPh sb="6" eb="8">
      <t>タイサク</t>
    </rPh>
    <phoneticPr fontId="21"/>
  </si>
  <si>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1"/>
  </si>
  <si>
    <t>←オプションボタン番号</t>
    <rPh sb="9" eb="11">
      <t>バンゴウ</t>
    </rPh>
    <phoneticPr fontId="21"/>
  </si>
  <si>
    <t>電力事業社名/根拠等</t>
    <rPh sb="0" eb="2">
      <t>デンリョク</t>
    </rPh>
    <rPh sb="2" eb="4">
      <t>ジギョウ</t>
    </rPh>
    <rPh sb="4" eb="6">
      <t>シャメイ</t>
    </rPh>
    <rPh sb="7" eb="9">
      <t>コンキョ</t>
    </rPh>
    <rPh sb="9" eb="10">
      <t>トウ</t>
    </rPh>
    <phoneticPr fontId="21"/>
  </si>
  <si>
    <t>排出係数</t>
    <rPh sb="0" eb="2">
      <t>ハイシュツ</t>
    </rPh>
    <rPh sb="2" eb="4">
      <t>ケイスウ</t>
    </rPh>
    <phoneticPr fontId="21"/>
  </si>
  <si>
    <t>↓事業社名</t>
    <rPh sb="1" eb="3">
      <t>ジギョウ</t>
    </rPh>
    <rPh sb="3" eb="5">
      <t>シャメイ</t>
    </rPh>
    <phoneticPr fontId="21"/>
  </si>
  <si>
    <t>↓排出係数</t>
    <rPh sb="1" eb="3">
      <t>ハイシュツ</t>
    </rPh>
    <rPh sb="3" eb="5">
      <t>ケイスウ</t>
    </rPh>
    <phoneticPr fontId="21"/>
  </si>
  <si>
    <t>排出係数</t>
    <phoneticPr fontId="21"/>
  </si>
  <si>
    <r>
      <t>kg-CO</t>
    </r>
    <r>
      <rPr>
        <vertAlign val="subscript"/>
        <sz val="10"/>
        <rFont val="ＭＳ Ｐゴシック"/>
        <family val="3"/>
        <charset val="128"/>
      </rPr>
      <t>2</t>
    </r>
    <r>
      <rPr>
        <sz val="10"/>
        <rFont val="ＭＳ Ｐゴシック"/>
        <family val="3"/>
        <charset val="128"/>
      </rPr>
      <t>/MJ</t>
    </r>
    <phoneticPr fontId="21"/>
  </si>
  <si>
    <t>住宅　共用部</t>
    <rPh sb="0" eb="2">
      <t>ジュウタク</t>
    </rPh>
    <rPh sb="3" eb="6">
      <t>キョウヨウブ</t>
    </rPh>
    <phoneticPr fontId="21"/>
  </si>
  <si>
    <t>一次エネ消費量　GJ/年</t>
    <phoneticPr fontId="21"/>
  </si>
  <si>
    <t>評価建物②</t>
    <rPh sb="0" eb="2">
      <t>ヒョウカ</t>
    </rPh>
    <rPh sb="2" eb="4">
      <t>タテモノ</t>
    </rPh>
    <phoneticPr fontId="21"/>
  </si>
  <si>
    <t>参照建物①</t>
    <rPh sb="0" eb="2">
      <t>サンショウ</t>
    </rPh>
    <rPh sb="2" eb="4">
      <t>タテモノ</t>
    </rPh>
    <phoneticPr fontId="21"/>
  </si>
  <si>
    <t>評価建物③</t>
    <rPh sb="0" eb="2">
      <t>ヒョウカ</t>
    </rPh>
    <rPh sb="2" eb="4">
      <t>タテモノ</t>
    </rPh>
    <phoneticPr fontId="21"/>
  </si>
  <si>
    <t>雑排水等を利用していない。</t>
    <rPh sb="3" eb="4">
      <t>トウ</t>
    </rPh>
    <rPh sb="5" eb="7">
      <t>リヨウ</t>
    </rPh>
    <phoneticPr fontId="1"/>
  </si>
  <si>
    <t>雑排水等を利用している。</t>
    <rPh sb="3" eb="4">
      <t>トウ</t>
    </rPh>
    <rPh sb="5" eb="7">
      <t>リヨウ</t>
    </rPh>
    <phoneticPr fontId="1"/>
  </si>
  <si>
    <t>2種類以上の雑排水等を利用している。</t>
    <rPh sb="1" eb="3">
      <t>シュルイ</t>
    </rPh>
    <rPh sb="3" eb="5">
      <t>イジョウ</t>
    </rPh>
    <rPh sb="6" eb="7">
      <t>ザツ</t>
    </rPh>
    <rPh sb="7" eb="9">
      <t>ハイスイ</t>
    </rPh>
    <rPh sb="9" eb="10">
      <t>トウ</t>
    </rPh>
    <rPh sb="11" eb="13">
      <t>リヨウ</t>
    </rPh>
    <phoneticPr fontId="1"/>
  </si>
  <si>
    <t>⑤　専用の清掃用流しや水道を設置している。</t>
    <rPh sb="2" eb="4">
      <t>センヨウ</t>
    </rPh>
    <rPh sb="5" eb="8">
      <t>セイソウヨウ</t>
    </rPh>
    <rPh sb="8" eb="9">
      <t>ナガ</t>
    </rPh>
    <rPh sb="11" eb="13">
      <t>スイドウ</t>
    </rPh>
    <rPh sb="14" eb="16">
      <t>セッチ</t>
    </rPh>
    <phoneticPr fontId="21"/>
  </si>
  <si>
    <t>合計＝</t>
    <phoneticPr fontId="21"/>
  </si>
  <si>
    <t>LR1</t>
  </si>
  <si>
    <t>建物全体・共用部分</t>
    <phoneticPr fontId="21"/>
  </si>
  <si>
    <t>高度な負荷変動追従ができるような制御システムである。</t>
    <phoneticPr fontId="21"/>
  </si>
  <si>
    <t>住</t>
    <phoneticPr fontId="21"/>
  </si>
  <si>
    <t>空調システムの例</t>
    <phoneticPr fontId="21"/>
  </si>
  <si>
    <t>取組み毎に
1ポイント</t>
    <phoneticPr fontId="21"/>
  </si>
  <si>
    <t>事務所</t>
    <rPh sb="0" eb="2">
      <t>ジム</t>
    </rPh>
    <rPh sb="2" eb="3">
      <t>ショ</t>
    </rPh>
    <phoneticPr fontId="21"/>
  </si>
  <si>
    <t>学校</t>
    <rPh sb="0" eb="2">
      <t>ガッコウ</t>
    </rPh>
    <phoneticPr fontId="21"/>
  </si>
  <si>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1"/>
  </si>
  <si>
    <t>フェロニッケルスラグを用いたケーソン中詰め材</t>
    <rPh sb="11" eb="12">
      <t>モチ</t>
    </rPh>
    <rPh sb="18" eb="19">
      <t>ナカ</t>
    </rPh>
    <rPh sb="19" eb="20">
      <t>ヅ</t>
    </rPh>
    <rPh sb="21" eb="22">
      <t>ザイ</t>
    </rPh>
    <phoneticPr fontId="21"/>
  </si>
  <si>
    <t>地盤改良用製鋼スラグ</t>
    <rPh sb="0" eb="2">
      <t>ジバン</t>
    </rPh>
    <rPh sb="2" eb="4">
      <t>カイリョウ</t>
    </rPh>
    <rPh sb="4" eb="5">
      <t>ヨウ</t>
    </rPh>
    <rPh sb="5" eb="7">
      <t>セイコウ</t>
    </rPh>
    <phoneticPr fontId="21"/>
  </si>
  <si>
    <t>kg-CO2/kWh</t>
  </si>
  <si>
    <t>（調整後排出係数</t>
    <rPh sb="1" eb="4">
      <t>チョウセイゴ</t>
    </rPh>
    <rPh sb="4" eb="6">
      <t>ハイシュツ</t>
    </rPh>
    <rPh sb="6" eb="8">
      <t>ケイスウ</t>
    </rPh>
    <phoneticPr fontId="21"/>
  </si>
  <si>
    <t>kg-CO2/MJ</t>
  </si>
  <si>
    <t>都市ガス</t>
    <rPh sb="0" eb="2">
      <t>トシ</t>
    </rPh>
    <phoneticPr fontId="28"/>
  </si>
  <si>
    <t>DHC</t>
  </si>
  <si>
    <t>灯油</t>
    <rPh sb="0" eb="2">
      <t>トウユ</t>
    </rPh>
    <phoneticPr fontId="28"/>
  </si>
  <si>
    <t>Ａ重油</t>
  </si>
  <si>
    <t>その他</t>
    <rPh sb="2" eb="3">
      <t>タ</t>
    </rPh>
    <phoneticPr fontId="28"/>
  </si>
  <si>
    <t>(灯油＋A重油の平均値）</t>
    <rPh sb="1" eb="3">
      <t>トウユ</t>
    </rPh>
    <rPh sb="5" eb="7">
      <t>ジュウユ</t>
    </rPh>
    <rPh sb="8" eb="11">
      <t>ヘイキンチ</t>
    </rPh>
    <phoneticPr fontId="28"/>
  </si>
  <si>
    <t>代替値</t>
  </si>
  <si>
    <t>用途別排出原単位</t>
    <rPh sb="0" eb="2">
      <t>ヨウト</t>
    </rPh>
    <rPh sb="2" eb="3">
      <t>ベツ</t>
    </rPh>
    <rPh sb="3" eb="5">
      <t>ハイシュツ</t>
    </rPh>
    <rPh sb="5" eb="8">
      <t>ゲンタンイ</t>
    </rPh>
    <phoneticPr fontId="21"/>
  </si>
  <si>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</si>
  <si>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1"/>
  </si>
  <si>
    <t>評価する取組みが2つ。</t>
  </si>
  <si>
    <t>事・学・会・病・ホ・工・住</t>
    <rPh sb="0" eb="1">
      <t>コト</t>
    </rPh>
    <rPh sb="2" eb="3">
      <t>ガク</t>
    </rPh>
    <rPh sb="4" eb="5">
      <t>カイ</t>
    </rPh>
    <rPh sb="6" eb="7">
      <t>ヤマイ</t>
    </rPh>
    <phoneticPr fontId="21"/>
  </si>
  <si>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1"/>
  </si>
  <si>
    <r>
      <t xml:space="preserve">2.4.3 </t>
    </r>
    <r>
      <rPr>
        <b/>
        <sz val="10"/>
        <rFont val="ＭＳ Ｐゴシック"/>
        <family val="3"/>
        <charset val="128"/>
      </rPr>
      <t>電気設備</t>
    </r>
    <rPh sb="6" eb="8">
      <t>デンキ</t>
    </rPh>
    <rPh sb="8" eb="10">
      <t>セツビ</t>
    </rPh>
    <phoneticPr fontId="21"/>
  </si>
  <si>
    <t>建物用途</t>
    <rPh sb="0" eb="2">
      <t>タテモノ</t>
    </rPh>
    <rPh sb="2" eb="4">
      <t>ヨウト</t>
    </rPh>
    <phoneticPr fontId="21"/>
  </si>
  <si>
    <t>空間のゆとり</t>
    <rPh sb="0" eb="2">
      <t>クウカン</t>
    </rPh>
    <phoneticPr fontId="21"/>
  </si>
  <si>
    <t>事・学・物・飲・病・工</t>
    <rPh sb="8" eb="9">
      <t>ヤマイ</t>
    </rPh>
    <rPh sb="10" eb="11">
      <t>コウ</t>
    </rPh>
    <phoneticPr fontId="21"/>
  </si>
  <si>
    <t>事・学・物・飲・病・工【&lt;2000㎡】</t>
    <rPh sb="8" eb="9">
      <t>ヤマイ</t>
    </rPh>
    <rPh sb="10" eb="11">
      <t>コウ</t>
    </rPh>
    <phoneticPr fontId="21"/>
  </si>
  <si>
    <t>事・学・物・飲・会・病・工</t>
    <rPh sb="12" eb="13">
      <t>コウ</t>
    </rPh>
    <phoneticPr fontId="21"/>
  </si>
  <si>
    <t>0.7≦　[壁長さ比率]</t>
  </si>
  <si>
    <t>0.5≦　[壁長さ比率] ＜0.7</t>
  </si>
  <si>
    <t>0.3≦　[壁長さ比率] ＜0.5</t>
  </si>
  <si>
    <t>0.1≦　[壁長さ比率] ＜0.3</t>
  </si>
  <si>
    <t>壁長さ比率＝</t>
    <rPh sb="0" eb="1">
      <t>カベ</t>
    </rPh>
    <rPh sb="1" eb="2">
      <t>ナガ</t>
    </rPh>
    <rPh sb="3" eb="5">
      <t>ヒリツ</t>
    </rPh>
    <phoneticPr fontId="21"/>
  </si>
  <si>
    <t>荷重のゆとり</t>
    <rPh sb="0" eb="2">
      <t>カジュウ</t>
    </rPh>
    <phoneticPr fontId="21"/>
  </si>
  <si>
    <t>事・物・飲・会（固定席）・病・工</t>
    <rPh sb="0" eb="1">
      <t>コト</t>
    </rPh>
    <rPh sb="2" eb="3">
      <t>モノ</t>
    </rPh>
    <rPh sb="4" eb="5">
      <t>イン</t>
    </rPh>
    <rPh sb="6" eb="7">
      <t>カイ</t>
    </rPh>
    <rPh sb="8" eb="10">
      <t>コテイ</t>
    </rPh>
    <rPh sb="10" eb="11">
      <t>セキ</t>
    </rPh>
    <rPh sb="15" eb="16">
      <t>コウ</t>
    </rPh>
    <phoneticPr fontId="21"/>
  </si>
  <si>
    <t>会（非固定席）</t>
    <rPh sb="0" eb="1">
      <t>カイ</t>
    </rPh>
    <rPh sb="2" eb="3">
      <t>ヒ</t>
    </rPh>
    <rPh sb="3" eb="5">
      <t>コテイ</t>
    </rPh>
    <rPh sb="5" eb="6">
      <t>セキ</t>
    </rPh>
    <phoneticPr fontId="21"/>
  </si>
  <si>
    <t>（該当するレベルなし）</t>
  </si>
  <si>
    <t>2900N/㎡未満</t>
    <phoneticPr fontId="21"/>
  </si>
  <si>
    <t>3500N/㎡未満</t>
    <phoneticPr fontId="21"/>
  </si>
  <si>
    <t>2300N/㎡未満</t>
    <phoneticPr fontId="21"/>
  </si>
  <si>
    <t>1800N/㎡未満</t>
    <phoneticPr fontId="21"/>
  </si>
  <si>
    <t>2900N/㎡以上～3500N/㎡未満</t>
    <phoneticPr fontId="21"/>
  </si>
  <si>
    <t>3500N/㎡以上～4200N/㎡未満</t>
    <phoneticPr fontId="21"/>
  </si>
  <si>
    <t>LR3</t>
    <phoneticPr fontId="21"/>
  </si>
  <si>
    <t>塗り床材</t>
    <rPh sb="0" eb="1">
      <t>ヌ</t>
    </rPh>
    <rPh sb="2" eb="3">
      <t>ユカ</t>
    </rPh>
    <rPh sb="3" eb="4">
      <t>ザイ</t>
    </rPh>
    <phoneticPr fontId="21"/>
  </si>
  <si>
    <t>床仕上げ</t>
    <rPh sb="0" eb="1">
      <t>ユカ</t>
    </rPh>
    <rPh sb="1" eb="3">
      <t>シア</t>
    </rPh>
    <phoneticPr fontId="21"/>
  </si>
  <si>
    <t>床仕上げワックス</t>
    <rPh sb="0" eb="1">
      <t>ユカ</t>
    </rPh>
    <rPh sb="1" eb="3">
      <t>シア</t>
    </rPh>
    <phoneticPr fontId="21"/>
  </si>
  <si>
    <t>防腐剤</t>
    <rPh sb="0" eb="3">
      <t>ボウフザイ</t>
    </rPh>
    <phoneticPr fontId="21"/>
  </si>
  <si>
    <t>平均気流速度</t>
    <rPh sb="0" eb="2">
      <t>ヘイキン</t>
    </rPh>
    <rPh sb="2" eb="4">
      <t>キリュウ</t>
    </rPh>
    <rPh sb="4" eb="6">
      <t>ソクド</t>
    </rPh>
    <phoneticPr fontId="21"/>
  </si>
  <si>
    <t>光・視環境</t>
    <rPh sb="0" eb="1">
      <t>ﾋｶﾘ</t>
    </rPh>
    <rPh sb="2" eb="3">
      <t>ｼ</t>
    </rPh>
    <rPh sb="3" eb="5">
      <t>ｶﾝｷｮｳ</t>
    </rPh>
    <phoneticPr fontId="34" type="noConversion"/>
  </si>
  <si>
    <t>昼光利用</t>
    <rPh sb="0" eb="1">
      <t>ﾋﾙ</t>
    </rPh>
    <rPh sb="1" eb="2">
      <t>ﾋｶﾘ</t>
    </rPh>
    <rPh sb="2" eb="4">
      <t>ﾘﾖｳ</t>
    </rPh>
    <phoneticPr fontId="34" type="noConversion"/>
  </si>
  <si>
    <t>昼光率</t>
    <rPh sb="0" eb="1">
      <t>ヒル</t>
    </rPh>
    <rPh sb="1" eb="2">
      <t>ヒカリ</t>
    </rPh>
    <rPh sb="2" eb="3">
      <t>リツ</t>
    </rPh>
    <phoneticPr fontId="21"/>
  </si>
  <si>
    <t>方位別開口</t>
    <rPh sb="0" eb="2">
      <t>ホウイ</t>
    </rPh>
    <rPh sb="2" eb="3">
      <t>ベツ</t>
    </rPh>
    <rPh sb="3" eb="5">
      <t>カイコウ</t>
    </rPh>
    <phoneticPr fontId="21"/>
  </si>
  <si>
    <t>昼光利用設備</t>
    <rPh sb="0" eb="1">
      <t>ヒル</t>
    </rPh>
    <rPh sb="1" eb="2">
      <t>ヒカリ</t>
    </rPh>
    <rPh sb="2" eb="4">
      <t>リヨウ</t>
    </rPh>
    <rPh sb="4" eb="6">
      <t>セツビ</t>
    </rPh>
    <phoneticPr fontId="21"/>
  </si>
  <si>
    <t>グレア対策</t>
    <rPh sb="3" eb="5">
      <t>ﾀｲｻｸ</t>
    </rPh>
    <phoneticPr fontId="34" type="noConversion"/>
  </si>
  <si>
    <t>照明器具のグレア</t>
    <rPh sb="0" eb="2">
      <t>ショウメイ</t>
    </rPh>
    <rPh sb="2" eb="4">
      <t>キグ</t>
    </rPh>
    <phoneticPr fontId="21"/>
  </si>
  <si>
    <t>昼光制御</t>
    <rPh sb="0" eb="1">
      <t>ヒル</t>
    </rPh>
    <rPh sb="1" eb="2">
      <t>ヒカリ</t>
    </rPh>
    <rPh sb="2" eb="4">
      <t>セイギョ</t>
    </rPh>
    <phoneticPr fontId="21"/>
  </si>
  <si>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</si>
  <si>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1"/>
  </si>
  <si>
    <t>建物全体・共用部分</t>
    <phoneticPr fontId="21"/>
  </si>
  <si>
    <r>
      <t xml:space="preserve">4.3.2 </t>
    </r>
    <r>
      <rPr>
        <b/>
        <sz val="10"/>
        <rFont val="ＭＳ Ｐゴシック"/>
        <family val="3"/>
        <charset val="128"/>
      </rPr>
      <t>喫煙の制御</t>
    </r>
    <rPh sb="6" eb="8">
      <t>キツエン</t>
    </rPh>
    <rPh sb="9" eb="11">
      <t>セイギョ</t>
    </rPh>
    <phoneticPr fontId="21"/>
  </si>
  <si>
    <t>事・学・物・飲・会・工</t>
    <rPh sb="10" eb="11">
      <t>コウ</t>
    </rPh>
    <phoneticPr fontId="21"/>
  </si>
  <si>
    <t>事・学・物・飲・会・病(待)・ホ・工</t>
    <rPh sb="10" eb="11">
      <t>ヤマイ</t>
    </rPh>
    <rPh sb="12" eb="13">
      <t>マ</t>
    </rPh>
    <rPh sb="17" eb="18">
      <t>コウ</t>
    </rPh>
    <phoneticPr fontId="21"/>
  </si>
  <si>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</si>
  <si>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1"/>
  </si>
  <si>
    <t>事・工</t>
    <rPh sb="0" eb="1">
      <t>コト</t>
    </rPh>
    <rPh sb="2" eb="3">
      <t>コウ</t>
    </rPh>
    <phoneticPr fontId="21"/>
  </si>
  <si>
    <t>病</t>
    <rPh sb="0" eb="1">
      <t>ビョウ</t>
    </rPh>
    <phoneticPr fontId="21"/>
  </si>
  <si>
    <t>HCFC－124</t>
  </si>
  <si>
    <t>HCFC－141b</t>
  </si>
  <si>
    <t>HCFC－142b</t>
  </si>
  <si>
    <t>HCFC－225ca</t>
  </si>
  <si>
    <t>HCFC－225cb</t>
  </si>
  <si>
    <t>HFC－23</t>
  </si>
  <si>
    <t>レベル３（代替フロン）</t>
    <rPh sb="5" eb="7">
      <t>ダイタイ</t>
    </rPh>
    <phoneticPr fontId="21"/>
  </si>
  <si>
    <t>HFC－32</t>
  </si>
  <si>
    <t>HFC－125</t>
  </si>
  <si>
    <t>HFC－134a</t>
  </si>
  <si>
    <t>HFC－143a</t>
  </si>
  <si>
    <t>HFC－152a</t>
  </si>
  <si>
    <t>HFC－227ea</t>
  </si>
  <si>
    <t>HFC－236fa</t>
  </si>
  <si>
    <t>診療室</t>
    <rPh sb="0" eb="3">
      <t>シンリョウシツ</t>
    </rPh>
    <phoneticPr fontId="21"/>
  </si>
  <si>
    <t>検査室</t>
    <rPh sb="0" eb="3">
      <t>ケンサシツ</t>
    </rPh>
    <phoneticPr fontId="21"/>
  </si>
  <si>
    <t>日本ロジテック協同組合</t>
  </si>
  <si>
    <t>Lr-55</t>
    <phoneticPr fontId="21"/>
  </si>
  <si>
    <t>Lr-60</t>
    <phoneticPr fontId="21"/>
  </si>
  <si>
    <t>Lr-50</t>
    <phoneticPr fontId="21"/>
  </si>
  <si>
    <t>Lr-45</t>
    <phoneticPr fontId="21"/>
  </si>
  <si>
    <t>Lr-50　またはそれより良い</t>
    <phoneticPr fontId="21"/>
  </si>
  <si>
    <t>全般照明方式の場合で室内にかなり不快に感じる程度の非常に暗い部分がある。</t>
    <phoneticPr fontId="21"/>
  </si>
  <si>
    <r>
      <t xml:space="preserve">2.1.5 </t>
    </r>
    <r>
      <rPr>
        <b/>
        <sz val="10"/>
        <rFont val="ＭＳ Ｐゴシック"/>
        <family val="3"/>
        <charset val="128"/>
      </rPr>
      <t>温度・湿度制御</t>
    </r>
    <rPh sb="6" eb="8">
      <t>オンド</t>
    </rPh>
    <rPh sb="9" eb="11">
      <t>シツド</t>
    </rPh>
    <rPh sb="11" eb="13">
      <t>セイギョ</t>
    </rPh>
    <phoneticPr fontId="21"/>
  </si>
  <si>
    <t>事・学・物・飲・会・病・ホ・工・住</t>
    <rPh sb="16" eb="17">
      <t>ジュウ</t>
    </rPh>
    <phoneticPr fontId="21"/>
  </si>
  <si>
    <t>ＯＮ-ＯＦＦによる温度・湿度制御になっている。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</si>
  <si>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</si>
  <si>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</si>
  <si>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1"/>
  </si>
  <si>
    <t>住</t>
    <rPh sb="0" eb="1">
      <t>ジュウ</t>
    </rPh>
    <phoneticPr fontId="21"/>
  </si>
  <si>
    <t>各室内で温度設定が可能。</t>
  </si>
  <si>
    <r>
      <t xml:space="preserve">2.1.8 </t>
    </r>
    <r>
      <rPr>
        <b/>
        <sz val="10"/>
        <rFont val="ＭＳ Ｐゴシック"/>
        <family val="3"/>
        <charset val="128"/>
      </rPr>
      <t>監視システム</t>
    </r>
    <rPh sb="6" eb="8">
      <t>カンシ</t>
    </rPh>
    <phoneticPr fontId="21"/>
  </si>
  <si>
    <t>事・学・病・ホ・工</t>
    <rPh sb="4" eb="5">
      <t>ヤマイ</t>
    </rPh>
    <rPh sb="8" eb="9">
      <t>コウ</t>
    </rPh>
    <phoneticPr fontId="21"/>
  </si>
  <si>
    <t>物・飲</t>
    <rPh sb="2" eb="3">
      <t>イン</t>
    </rPh>
    <phoneticPr fontId="21"/>
  </si>
  <si>
    <t>Quality</t>
    <phoneticPr fontId="21"/>
  </si>
  <si>
    <r>
      <t>L</t>
    </r>
    <r>
      <rPr>
        <sz val="8"/>
        <color indexed="10"/>
        <rFont val="ＭＳ Ｐゴシック"/>
        <family val="3"/>
        <charset val="128"/>
      </rPr>
      <t>：</t>
    </r>
    <r>
      <rPr>
        <sz val="8"/>
        <color indexed="10"/>
        <rFont val="Arial"/>
        <family val="2"/>
      </rPr>
      <t>Load</t>
    </r>
    <phoneticPr fontId="21"/>
  </si>
  <si>
    <r>
      <t>LR</t>
    </r>
    <r>
      <rPr>
        <sz val="8"/>
        <color indexed="10"/>
        <rFont val="ＭＳ Ｐゴシック"/>
        <family val="3"/>
        <charset val="128"/>
      </rPr>
      <t>：</t>
    </r>
    <r>
      <rPr>
        <sz val="8"/>
        <color indexed="10"/>
        <rFont val="Arial"/>
        <family val="2"/>
      </rPr>
      <t>Load Reduction</t>
    </r>
    <phoneticPr fontId="21"/>
  </si>
  <si>
    <r>
      <t>SQ</t>
    </r>
    <r>
      <rPr>
        <sz val="8"/>
        <color indexed="10"/>
        <rFont val="ＭＳ Ｐゴシック"/>
        <family val="3"/>
        <charset val="128"/>
      </rPr>
      <t>：</t>
    </r>
    <r>
      <rPr>
        <sz val="8"/>
        <color indexed="10"/>
        <rFont val="Arial"/>
        <family val="2"/>
      </rPr>
      <t>Score of Q category</t>
    </r>
    <phoneticPr fontId="21"/>
  </si>
  <si>
    <r>
      <t>SLR</t>
    </r>
    <r>
      <rPr>
        <sz val="8"/>
        <color indexed="10"/>
        <rFont val="ＭＳ Ｐゴシック"/>
        <family val="3"/>
        <charset val="128"/>
      </rPr>
      <t>：</t>
    </r>
    <r>
      <rPr>
        <sz val="8"/>
        <color indexed="10"/>
        <rFont val="Arial"/>
        <family val="2"/>
      </rPr>
      <t>Score of LR category</t>
    </r>
    <phoneticPr fontId="21"/>
  </si>
  <si>
    <r>
      <t>BEE</t>
    </r>
    <r>
      <rPr>
        <sz val="8"/>
        <color indexed="10"/>
        <rFont val="ＭＳ Ｐゴシック"/>
        <family val="3"/>
        <charset val="128"/>
      </rPr>
      <t>：</t>
    </r>
    <r>
      <rPr>
        <sz val="8"/>
        <color indexed="10"/>
        <rFont val="Arial"/>
        <family val="2"/>
      </rPr>
      <t>Building Environmental Efficiency</t>
    </r>
    <phoneticPr fontId="21"/>
  </si>
  <si>
    <t>配慮項目</t>
    <phoneticPr fontId="21"/>
  </si>
  <si>
    <t>環境配慮設計の概要記入欄</t>
    <phoneticPr fontId="21"/>
  </si>
  <si>
    <t>全体</t>
    <phoneticPr fontId="21"/>
  </si>
  <si>
    <t>weight(set)</t>
    <phoneticPr fontId="21"/>
  </si>
  <si>
    <t>Ｑ　建築物の環境品質</t>
    <phoneticPr fontId="21"/>
  </si>
  <si>
    <t>Q1</t>
    <phoneticPr fontId="34" type="noConversion"/>
  </si>
  <si>
    <t>温度・湿度制御</t>
    <phoneticPr fontId="21"/>
  </si>
  <si>
    <t>Q2</t>
    <phoneticPr fontId="34" type="noConversion"/>
  </si>
  <si>
    <t>サービス性能</t>
    <phoneticPr fontId="21"/>
  </si>
  <si>
    <t>リフレッシュスペース</t>
    <phoneticPr fontId="21"/>
  </si>
  <si>
    <t>空調配管の更新性</t>
    <phoneticPr fontId="21"/>
  </si>
  <si>
    <t>Q3</t>
    <phoneticPr fontId="34" type="noConversion"/>
  </si>
  <si>
    <t>室外環境（敷地内）</t>
    <phoneticPr fontId="21"/>
  </si>
  <si>
    <t>3b</t>
    <phoneticPr fontId="21"/>
  </si>
  <si>
    <t>エネルギー利用効率化設備</t>
    <phoneticPr fontId="21"/>
  </si>
  <si>
    <t>モニタリング</t>
    <phoneticPr fontId="34" type="noConversion"/>
  </si>
  <si>
    <t>LR2</t>
    <phoneticPr fontId="34" type="noConversion"/>
  </si>
  <si>
    <t>資源・マテリアル</t>
    <phoneticPr fontId="21"/>
  </si>
  <si>
    <t>LR3</t>
    <phoneticPr fontId="34" type="noConversion"/>
  </si>
  <si>
    <t>敷地外環境</t>
    <phoneticPr fontId="21"/>
  </si>
  <si>
    <t>温熱環境悪化の改善</t>
    <phoneticPr fontId="21"/>
  </si>
  <si>
    <t>雨水排水負荷低減</t>
    <phoneticPr fontId="34" type="noConversion"/>
  </si>
  <si>
    <t>汚水処理負荷抑制</t>
    <phoneticPr fontId="34" type="noConversion"/>
  </si>
  <si>
    <t>振動</t>
    <phoneticPr fontId="34" type="noConversion"/>
  </si>
  <si>
    <t>悪臭</t>
    <phoneticPr fontId="34" type="noConversion"/>
  </si>
  <si>
    <t>風害の抑制</t>
    <phoneticPr fontId="34" type="noConversion"/>
  </si>
  <si>
    <t>日照阻害の抑制</t>
    <phoneticPr fontId="34"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</si>
  <si>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1"/>
  </si>
  <si>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1"/>
  </si>
  <si>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1"/>
  </si>
  <si>
    <t>集合住宅</t>
    <phoneticPr fontId="21"/>
  </si>
  <si>
    <t>ｍ3/㎡</t>
    <phoneticPr fontId="21"/>
  </si>
  <si>
    <t>◆</t>
    <phoneticPr fontId="21"/>
  </si>
  <si>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1"/>
  </si>
  <si>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1"/>
  </si>
  <si>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1"/>
  </si>
  <si>
    <t>N.A.</t>
    <phoneticPr fontId="21"/>
  </si>
  <si>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1"/>
  </si>
  <si>
    <t>LR1 
エネルギー</t>
    <phoneticPr fontId="21"/>
  </si>
  <si>
    <r>
      <t xml:space="preserve">Q1 </t>
    </r>
    <r>
      <rPr>
        <b/>
        <sz val="14"/>
        <rFont val="ＭＳ Ｐゴシック"/>
        <family val="3"/>
        <charset val="128"/>
      </rPr>
      <t>室内環境</t>
    </r>
    <rPh sb="3" eb="5">
      <t>シツナイ</t>
    </rPh>
    <rPh sb="5" eb="7">
      <t>カンキョウ</t>
    </rPh>
    <phoneticPr fontId="21"/>
  </si>
  <si>
    <t>○</t>
    <phoneticPr fontId="21"/>
  </si>
  <si>
    <t>ON</t>
    <phoneticPr fontId="21"/>
  </si>
  <si>
    <t>dB(A)</t>
    <phoneticPr fontId="21"/>
  </si>
  <si>
    <t>建物全体・共用部分</t>
    <phoneticPr fontId="21"/>
  </si>
  <si>
    <t>住居・宿泊部分</t>
    <phoneticPr fontId="21"/>
  </si>
  <si>
    <t>物・飲</t>
    <phoneticPr fontId="21"/>
  </si>
  <si>
    <t>小中学校</t>
    <rPh sb="0" eb="4">
      <t>ショウチュウガッコウ</t>
    </rPh>
    <phoneticPr fontId="21"/>
  </si>
  <si>
    <t>物販店</t>
    <rPh sb="0" eb="3">
      <t>ブッパンテン</t>
    </rPh>
    <phoneticPr fontId="21"/>
  </si>
  <si>
    <t>デパート・スーパー</t>
  </si>
  <si>
    <t>集会所</t>
    <rPh sb="0" eb="3">
      <t>シュウカイショ</t>
    </rPh>
    <phoneticPr fontId="21"/>
  </si>
  <si>
    <t>集会所</t>
    <rPh sb="0" eb="2">
      <t>シュウカイ</t>
    </rPh>
    <rPh sb="2" eb="3">
      <t>ジョ</t>
    </rPh>
    <phoneticPr fontId="21"/>
  </si>
  <si>
    <t>病院</t>
    <rPh sb="0" eb="2">
      <t>ビョウイン</t>
    </rPh>
    <phoneticPr fontId="21"/>
  </si>
  <si>
    <t>3）結果出力</t>
    <rPh sb="2" eb="4">
      <t>ケッカ</t>
    </rPh>
    <rPh sb="4" eb="6">
      <t>シュツリョク</t>
    </rPh>
    <phoneticPr fontId="21"/>
  </si>
  <si>
    <t>スコアシート</t>
    <phoneticPr fontId="21"/>
  </si>
  <si>
    <t>●スコア</t>
    <phoneticPr fontId="21"/>
  </si>
  <si>
    <t>評価結果表示シート</t>
    <rPh sb="0" eb="2">
      <t>ヒョウカ</t>
    </rPh>
    <rPh sb="2" eb="4">
      <t>ケッカ</t>
    </rPh>
    <rPh sb="4" eb="6">
      <t>ヒョウジ</t>
    </rPh>
    <phoneticPr fontId="21"/>
  </si>
  <si>
    <t>●結果　</t>
    <rPh sb="1" eb="3">
      <t>ケッカ</t>
    </rPh>
    <phoneticPr fontId="21"/>
  </si>
  <si>
    <r>
      <t>●</t>
    </r>
    <r>
      <rPr>
        <sz val="10"/>
        <color indexed="18"/>
        <rFont val="Arial"/>
        <family val="2"/>
      </rPr>
      <t>LCCO2</t>
    </r>
    <r>
      <rPr>
        <sz val="10"/>
        <color indexed="18"/>
        <rFont val="ＭＳ Ｐゴシック"/>
        <family val="3"/>
        <charset val="128"/>
      </rPr>
      <t>計算</t>
    </r>
    <rPh sb="6" eb="8">
      <t>ケイサン</t>
    </rPh>
    <phoneticPr fontId="21"/>
  </si>
  <si>
    <t>LCCO2算定条件シート</t>
    <rPh sb="5" eb="7">
      <t>サンテイ</t>
    </rPh>
    <rPh sb="7" eb="9">
      <t>ジョウケン</t>
    </rPh>
    <phoneticPr fontId="21"/>
  </si>
  <si>
    <t>発生源対策</t>
    <rPh sb="0" eb="3">
      <t>ハッセイゲン</t>
    </rPh>
    <rPh sb="3" eb="5">
      <t>タイサク</t>
    </rPh>
    <phoneticPr fontId="21"/>
  </si>
  <si>
    <r>
      <t xml:space="preserve">4.1.1 </t>
    </r>
    <r>
      <rPr>
        <b/>
        <sz val="10"/>
        <rFont val="ＭＳ Ｐゴシック"/>
        <family val="3"/>
        <charset val="128"/>
      </rPr>
      <t>化学汚染物質</t>
    </r>
    <rPh sb="6" eb="8">
      <t>カガク</t>
    </rPh>
    <rPh sb="8" eb="10">
      <t>オセン</t>
    </rPh>
    <rPh sb="10" eb="12">
      <t>ブッシツ</t>
    </rPh>
    <phoneticPr fontId="21"/>
  </si>
  <si>
    <t>事・学・物・飲・会・病・ホ・工・住</t>
    <rPh sb="2" eb="3">
      <t>ガク</t>
    </rPh>
    <rPh sb="6" eb="7">
      <t>イン</t>
    </rPh>
    <rPh sb="8" eb="9">
      <t>カイ</t>
    </rPh>
    <rPh sb="16" eb="17">
      <t>ジュウ</t>
    </rPh>
    <phoneticPr fontId="21"/>
  </si>
  <si>
    <t>病・ホ・住</t>
    <rPh sb="0" eb="1">
      <t>ヤマイ</t>
    </rPh>
    <rPh sb="4" eb="5">
      <t>ジュウ</t>
    </rPh>
    <phoneticPr fontId="21"/>
  </si>
  <si>
    <t>建築基準法を満たしている。</t>
    <phoneticPr fontId="21"/>
  </si>
  <si>
    <r>
      <t xml:space="preserve">4.1.2 </t>
    </r>
    <r>
      <rPr>
        <b/>
        <sz val="10"/>
        <rFont val="ＭＳ Ｐゴシック"/>
        <family val="3"/>
        <charset val="128"/>
      </rPr>
      <t>アスベスト対策</t>
    </r>
    <rPh sb="11" eb="13">
      <t>タイサク</t>
    </rPh>
    <phoneticPr fontId="21"/>
  </si>
  <si>
    <t>既存のみ評価</t>
    <rPh sb="0" eb="2">
      <t>キソン</t>
    </rPh>
    <rPh sb="4" eb="6">
      <t>ヒョウカ</t>
    </rPh>
    <phoneticPr fontId="21"/>
  </si>
  <si>
    <t>吹き付けアスベスト等を一切使用していない。</t>
    <phoneticPr fontId="21"/>
  </si>
  <si>
    <r>
      <t xml:space="preserve">4.1.3 </t>
    </r>
    <r>
      <rPr>
        <b/>
        <sz val="10"/>
        <rFont val="ＭＳ Ｐゴシック"/>
        <family val="3"/>
        <charset val="128"/>
      </rPr>
      <t>ダニ・カビ等</t>
    </r>
    <rPh sb="11" eb="12">
      <t>トウ</t>
    </rPh>
    <phoneticPr fontId="21"/>
  </si>
  <si>
    <t>事・学・物・飲・会・病・ホ・工・住</t>
    <rPh sb="0" eb="1">
      <t>コト</t>
    </rPh>
    <rPh sb="2" eb="3">
      <t>ガク</t>
    </rPh>
    <rPh sb="4" eb="5">
      <t>モノ</t>
    </rPh>
    <rPh sb="6" eb="7">
      <t>イン</t>
    </rPh>
    <rPh sb="8" eb="9">
      <t>カイ</t>
    </rPh>
    <rPh sb="10" eb="11">
      <t>ヤマイ</t>
    </rPh>
    <rPh sb="16" eb="17">
      <t>ジュウ</t>
    </rPh>
    <phoneticPr fontId="21"/>
  </si>
  <si>
    <r>
      <t xml:space="preserve">4.1.4 </t>
    </r>
    <r>
      <rPr>
        <b/>
        <sz val="10"/>
        <rFont val="ＭＳ Ｐゴシック"/>
        <family val="3"/>
        <charset val="128"/>
      </rPr>
      <t>レジオネラ対策</t>
    </r>
    <rPh sb="11" eb="13">
      <t>タイサク</t>
    </rPh>
    <phoneticPr fontId="21"/>
  </si>
  <si>
    <t>事・学・物・飲・会・工・病</t>
    <rPh sb="0" eb="1">
      <t>コト</t>
    </rPh>
    <rPh sb="2" eb="3">
      <t>ガク</t>
    </rPh>
    <rPh sb="4" eb="5">
      <t>モノ</t>
    </rPh>
    <rPh sb="6" eb="7">
      <t>イン</t>
    </rPh>
    <rPh sb="8" eb="9">
      <t>カイ</t>
    </rPh>
    <rPh sb="10" eb="11">
      <t>コウ</t>
    </rPh>
    <rPh sb="12" eb="13">
      <t>ビョウ</t>
    </rPh>
    <phoneticPr fontId="21"/>
  </si>
  <si>
    <t>評価する取組み表の評価ポイントの合計値が3ポイント</t>
    <phoneticPr fontId="21"/>
  </si>
  <si>
    <t>評価する取組み表の評価ポイントの合計値が4ポイント</t>
    <phoneticPr fontId="21"/>
  </si>
  <si>
    <t>評価する取組み表の評価ポイントの合計値が5ポイント以上</t>
    <phoneticPr fontId="21"/>
  </si>
  <si>
    <t>I ゴミの種類や量の推計</t>
    <phoneticPr fontId="21"/>
  </si>
  <si>
    <t>持続可能な森林から産出された木材を使用していない。</t>
    <phoneticPr fontId="21"/>
  </si>
  <si>
    <t>振動に関する規制基準値</t>
    <rPh sb="0" eb="2">
      <t>シンドウ</t>
    </rPh>
    <rPh sb="3" eb="4">
      <t>カン</t>
    </rPh>
    <rPh sb="6" eb="8">
      <t>キセイ</t>
    </rPh>
    <rPh sb="8" eb="11">
      <t>キジュンチ</t>
    </rPh>
    <phoneticPr fontId="21"/>
  </si>
  <si>
    <t>Dr-45</t>
  </si>
  <si>
    <t>Dr-45以上</t>
  </si>
  <si>
    <t>Dr-50以上</t>
    <rPh sb="5" eb="7">
      <t>イジョウ</t>
    </rPh>
    <phoneticPr fontId="21"/>
  </si>
  <si>
    <t>Dr-55以上</t>
    <rPh sb="5" eb="7">
      <t>イジョウ</t>
    </rPh>
    <phoneticPr fontId="21"/>
  </si>
  <si>
    <t>学</t>
    <rPh sb="0" eb="1">
      <t>ガク</t>
    </rPh>
    <phoneticPr fontId="21"/>
  </si>
  <si>
    <t>吸音</t>
    <rPh sb="0" eb="2">
      <t>キュウオン</t>
    </rPh>
    <phoneticPr fontId="21"/>
  </si>
  <si>
    <t>建物全体・共用部分</t>
    <phoneticPr fontId="21"/>
  </si>
  <si>
    <t>事・学・物・飲・会・病・ホ・工</t>
    <rPh sb="4" eb="5">
      <t>モノ</t>
    </rPh>
    <rPh sb="6" eb="7">
      <t>イン</t>
    </rPh>
    <rPh sb="8" eb="9">
      <t>カイ</t>
    </rPh>
    <phoneticPr fontId="21"/>
  </si>
  <si>
    <t>吸音材を使用していない。</t>
    <rPh sb="4" eb="6">
      <t>シヨウ</t>
    </rPh>
    <phoneticPr fontId="21"/>
  </si>
  <si>
    <t>温熱環境</t>
    <rPh sb="0" eb="2">
      <t>オンネツ</t>
    </rPh>
    <rPh sb="2" eb="4">
      <t>カンキョウ</t>
    </rPh>
    <phoneticPr fontId="21"/>
  </si>
  <si>
    <t>室温制御</t>
    <rPh sb="0" eb="2">
      <t>シツオン</t>
    </rPh>
    <rPh sb="2" eb="4">
      <t>セイギョ</t>
    </rPh>
    <phoneticPr fontId="21"/>
  </si>
  <si>
    <t>住居・宿泊部分</t>
  </si>
  <si>
    <t>病(待)・ホ・工・住</t>
    <rPh sb="2" eb="3">
      <t>マ</t>
    </rPh>
    <phoneticPr fontId="21"/>
  </si>
  <si>
    <t>病(診)</t>
    <rPh sb="2" eb="3">
      <t>ミ</t>
    </rPh>
    <phoneticPr fontId="21"/>
  </si>
  <si>
    <t>学（小中高）</t>
    <rPh sb="2" eb="5">
      <t>ショウチュウコウ</t>
    </rPh>
    <phoneticPr fontId="21"/>
  </si>
  <si>
    <t>レベル２を満たさない。</t>
  </si>
  <si>
    <t>居住域の上下温度差や気流速度について特に配慮していない空調方式が計画されている。</t>
    <phoneticPr fontId="21"/>
  </si>
  <si>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1"/>
  </si>
  <si>
    <t>居住域の上下温度差や気流速度について特に配慮していない空調方式が計画されている。</t>
    <phoneticPr fontId="21"/>
  </si>
  <si>
    <t>再生材料を用いた舗装用ブロック（プレキャスト無筋コンクリート）</t>
    <rPh sb="0" eb="2">
      <t>サイセイ</t>
    </rPh>
    <rPh sb="2" eb="4">
      <t>ザイリョウ</t>
    </rPh>
    <rPh sb="5" eb="6">
      <t>モチ</t>
    </rPh>
    <rPh sb="8" eb="11">
      <t>ホソウヨウ</t>
    </rPh>
    <rPh sb="22" eb="24">
      <t>ムキン</t>
    </rPh>
    <phoneticPr fontId="21"/>
  </si>
  <si>
    <t>製材</t>
    <rPh sb="0" eb="2">
      <t>セイザイ</t>
    </rPh>
    <phoneticPr fontId="21"/>
  </si>
  <si>
    <t>雨水の排水溝等</t>
    <rPh sb="0" eb="2">
      <t>アマミズ</t>
    </rPh>
    <rPh sb="3" eb="6">
      <t>ハイスイコウ</t>
    </rPh>
    <rPh sb="6" eb="7">
      <t>トウ</t>
    </rPh>
    <phoneticPr fontId="21"/>
  </si>
  <si>
    <t>耐用性・信頼性</t>
    <rPh sb="4" eb="6">
      <t>シンライ</t>
    </rPh>
    <rPh sb="6" eb="7">
      <t>セイ</t>
    </rPh>
    <phoneticPr fontId="1"/>
  </si>
  <si>
    <t>耐震･免震</t>
    <rPh sb="0" eb="2">
      <t>タイシン</t>
    </rPh>
    <rPh sb="3" eb="4">
      <t>メン</t>
    </rPh>
    <rPh sb="4" eb="5">
      <t>フル</t>
    </rPh>
    <phoneticPr fontId="1"/>
  </si>
  <si>
    <t>免震・制振性能</t>
    <rPh sb="5" eb="7">
      <t>セイノウ</t>
    </rPh>
    <phoneticPr fontId="1"/>
  </si>
  <si>
    <t>部品・部材の耐用年数</t>
    <rPh sb="0" eb="2">
      <t>ブヒン</t>
    </rPh>
    <rPh sb="3" eb="4">
      <t>ブ</t>
    </rPh>
    <rPh sb="4" eb="5">
      <t>ザイ</t>
    </rPh>
    <rPh sb="6" eb="8">
      <t>タイヨウ</t>
    </rPh>
    <rPh sb="8" eb="10">
      <t>ネンスウ</t>
    </rPh>
    <phoneticPr fontId="1"/>
  </si>
  <si>
    <t>躯体材料の耐用年数</t>
    <rPh sb="0" eb="2">
      <t>クタイ</t>
    </rPh>
    <rPh sb="2" eb="4">
      <t>ザイリョウ</t>
    </rPh>
    <rPh sb="5" eb="7">
      <t>タイヨウ</t>
    </rPh>
    <rPh sb="7" eb="9">
      <t>ネンスウ</t>
    </rPh>
    <phoneticPr fontId="1"/>
  </si>
  <si>
    <t>空調換気ダクトの更新必要間隔</t>
    <rPh sb="0" eb="2">
      <t>クウチョウ</t>
    </rPh>
    <rPh sb="2" eb="4">
      <t>カンキ</t>
    </rPh>
    <phoneticPr fontId="1"/>
  </si>
  <si>
    <t>空調・給排水配管の更新必要間隔</t>
    <rPh sb="0" eb="2">
      <t>クウチョウ</t>
    </rPh>
    <rPh sb="3" eb="4">
      <t>キュウ</t>
    </rPh>
    <rPh sb="4" eb="6">
      <t>ハイスイ</t>
    </rPh>
    <rPh sb="6" eb="8">
      <t>ハイカン</t>
    </rPh>
    <phoneticPr fontId="1"/>
  </si>
  <si>
    <t>適切な更新</t>
    <rPh sb="0" eb="2">
      <t>テキセツ</t>
    </rPh>
    <rPh sb="3" eb="5">
      <t>コウシン</t>
    </rPh>
    <phoneticPr fontId="1"/>
  </si>
  <si>
    <t>屋上（屋根）・外壁仕上げ材の更新</t>
    <rPh sb="0" eb="2">
      <t>オクジョウ</t>
    </rPh>
    <rPh sb="3" eb="5">
      <t>ヤネ</t>
    </rPh>
    <rPh sb="7" eb="9">
      <t>ガイヘキ</t>
    </rPh>
    <rPh sb="9" eb="11">
      <t>シア</t>
    </rPh>
    <rPh sb="12" eb="13">
      <t>ザイ</t>
    </rPh>
    <rPh sb="14" eb="16">
      <t>コウシン</t>
    </rPh>
    <phoneticPr fontId="1"/>
  </si>
  <si>
    <t>配管・配線材の更新</t>
    <rPh sb="0" eb="2">
      <t>ハイカン</t>
    </rPh>
    <rPh sb="3" eb="5">
      <t>ハイセン</t>
    </rPh>
    <rPh sb="5" eb="6">
      <t>ザイ</t>
    </rPh>
    <rPh sb="7" eb="9">
      <t>コウシン</t>
    </rPh>
    <phoneticPr fontId="1"/>
  </si>
  <si>
    <t>主要設備機器の更新</t>
    <rPh sb="0" eb="2">
      <t>シュヨウ</t>
    </rPh>
    <rPh sb="2" eb="4">
      <t>セツビ</t>
    </rPh>
    <rPh sb="4" eb="6">
      <t>キキ</t>
    </rPh>
    <rPh sb="7" eb="9">
      <t>コウシン</t>
    </rPh>
    <phoneticPr fontId="1"/>
  </si>
  <si>
    <t>信頼性</t>
    <rPh sb="0" eb="3">
      <t>シンライセイ</t>
    </rPh>
    <phoneticPr fontId="1"/>
  </si>
  <si>
    <t>バックアップスペースの確保</t>
    <rPh sb="11" eb="13">
      <t>カクホ</t>
    </rPh>
    <phoneticPr fontId="1"/>
  </si>
  <si>
    <t xml:space="preserve"> 非住宅　小計</t>
    <rPh sb="1" eb="2">
      <t>ヒ</t>
    </rPh>
    <rPh sb="2" eb="4">
      <t>ジュウタク</t>
    </rPh>
    <rPh sb="5" eb="7">
      <t>ショウケイ</t>
    </rPh>
    <phoneticPr fontId="21"/>
  </si>
  <si>
    <t>小中学校・集合住宅</t>
    <rPh sb="0" eb="4">
      <t>ショウチュウガッコウ</t>
    </rPh>
    <rPh sb="5" eb="7">
      <t>シュウゴウ</t>
    </rPh>
    <rPh sb="7" eb="9">
      <t>ジュウタク</t>
    </rPh>
    <phoneticPr fontId="21"/>
  </si>
  <si>
    <t>上記以外</t>
    <rPh sb="0" eb="2">
      <t>ジョウキ</t>
    </rPh>
    <rPh sb="2" eb="4">
      <t>イガイ</t>
    </rPh>
    <phoneticPr fontId="21"/>
  </si>
  <si>
    <t xml:space="preserve"> Q2 1.3</t>
  </si>
  <si>
    <t>総合的な取組み</t>
    <rPh sb="0" eb="3">
      <t>ソウゴウテキ</t>
    </rPh>
    <rPh sb="4" eb="5">
      <t>ト</t>
    </rPh>
    <rPh sb="5" eb="6">
      <t>ク</t>
    </rPh>
    <phoneticPr fontId="21"/>
  </si>
  <si>
    <t>維持管理に配慮した設計</t>
    <rPh sb="0" eb="2">
      <t>イジ</t>
    </rPh>
    <rPh sb="2" eb="4">
      <t>カンリ</t>
    </rPh>
    <rPh sb="5" eb="7">
      <t>ハイリョ</t>
    </rPh>
    <rPh sb="9" eb="11">
      <t>セッケイ</t>
    </rPh>
    <phoneticPr fontId="21"/>
  </si>
  <si>
    <t>1.3.2</t>
  </si>
  <si>
    <t>清掃管理業務</t>
    <rPh sb="0" eb="2">
      <t>セイソウ</t>
    </rPh>
    <rPh sb="2" eb="4">
      <t>カンリ</t>
    </rPh>
    <rPh sb="4" eb="6">
      <t>ギョウム</t>
    </rPh>
    <phoneticPr fontId="21"/>
  </si>
  <si>
    <t>維持管理用機能の確保</t>
    <rPh sb="0" eb="2">
      <t>イジ</t>
    </rPh>
    <rPh sb="2" eb="5">
      <t>カンリヨウ</t>
    </rPh>
    <rPh sb="5" eb="7">
      <t>キノウ</t>
    </rPh>
    <rPh sb="8" eb="10">
      <t>カクホ</t>
    </rPh>
    <phoneticPr fontId="21"/>
  </si>
  <si>
    <t>1.3.3</t>
  </si>
  <si>
    <t>耐用性・信頼性</t>
    <rPh sb="4" eb="6">
      <t>シンライ</t>
    </rPh>
    <rPh sb="6" eb="7">
      <t>セイ</t>
    </rPh>
    <phoneticPr fontId="21"/>
  </si>
  <si>
    <t xml:space="preserve"> Q2 2</t>
  </si>
  <si>
    <t xml:space="preserve"> Q2 2.1</t>
  </si>
  <si>
    <t>耐震性</t>
  </si>
  <si>
    <t>免震・制振性能</t>
    <rPh sb="5" eb="7">
      <t>セイノウ</t>
    </rPh>
    <phoneticPr fontId="21"/>
  </si>
  <si>
    <t xml:space="preserve"> Q2 2.2</t>
  </si>
  <si>
    <t>外壁仕上げ材の補修必要間隔</t>
  </si>
  <si>
    <t>主要内装仕上げ材の更新必要間隔</t>
  </si>
  <si>
    <t>空調換気ダクトの更新必要間隔</t>
    <rPh sb="0" eb="2">
      <t>クウチョウ</t>
    </rPh>
    <rPh sb="2" eb="4">
      <t>カンキ</t>
    </rPh>
    <phoneticPr fontId="21"/>
  </si>
  <si>
    <t>空調・給排水配管の更新必要間隔</t>
    <rPh sb="0" eb="2">
      <t>クウチョウ</t>
    </rPh>
    <rPh sb="3" eb="4">
      <t>キュウ</t>
    </rPh>
    <rPh sb="4" eb="6">
      <t>ハイスイ</t>
    </rPh>
    <rPh sb="6" eb="8">
      <t>ハイカン</t>
    </rPh>
    <phoneticPr fontId="21"/>
  </si>
  <si>
    <t>主要設備機器の更新必要間隔</t>
  </si>
  <si>
    <t xml:space="preserve"> Q2 2.3</t>
  </si>
  <si>
    <t>主要設備機器の更新</t>
    <rPh sb="0" eb="2">
      <t>シュヨウ</t>
    </rPh>
    <rPh sb="2" eb="4">
      <t>セツビ</t>
    </rPh>
    <rPh sb="4" eb="6">
      <t>キキ</t>
    </rPh>
    <rPh sb="7" eb="9">
      <t>コウシン</t>
    </rPh>
    <phoneticPr fontId="21"/>
  </si>
  <si>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</si>
  <si>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</si>
  <si>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</si>
  <si>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</si>
  <si>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</si>
  <si>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</si>
  <si>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</si>
  <si>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</si>
  <si>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</si>
  <si>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</si>
  <si>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1"/>
  </si>
  <si>
    <t>飲食店</t>
    <rPh sb="0" eb="2">
      <t>インショク</t>
    </rPh>
    <rPh sb="2" eb="3">
      <t>テン</t>
    </rPh>
    <phoneticPr fontId="21"/>
  </si>
  <si>
    <t>集合住宅</t>
    <rPh sb="0" eb="2">
      <t>シュウゴウ</t>
    </rPh>
    <rPh sb="2" eb="4">
      <t>ジュウタク</t>
    </rPh>
    <phoneticPr fontId="21"/>
  </si>
  <si>
    <t>2-2.　合計の計算</t>
    <rPh sb="5" eb="7">
      <t>ゴウケイ</t>
    </rPh>
    <rPh sb="8" eb="10">
      <t>ケイサン</t>
    </rPh>
    <phoneticPr fontId="21"/>
  </si>
  <si>
    <t>3-1.　建築物の取組み（②）</t>
    <rPh sb="5" eb="8">
      <t>ケンチクブツ</t>
    </rPh>
    <rPh sb="9" eb="11">
      <t>トリク</t>
    </rPh>
    <phoneticPr fontId="21"/>
  </si>
  <si>
    <t>参照値（①）</t>
    <rPh sb="0" eb="2">
      <t>サンショウ</t>
    </rPh>
    <rPh sb="2" eb="3">
      <t>チ</t>
    </rPh>
    <phoneticPr fontId="21"/>
  </si>
  <si>
    <t>3-2.　上記+上記以外のオンサイト手法（③）</t>
    <rPh sb="5" eb="7">
      <t>ジョウキ</t>
    </rPh>
    <rPh sb="8" eb="10">
      <t>ジョウキ</t>
    </rPh>
    <rPh sb="10" eb="12">
      <t>イガイ</t>
    </rPh>
    <rPh sb="18" eb="20">
      <t>シュホウ</t>
    </rPh>
    <phoneticPr fontId="21"/>
  </si>
  <si>
    <t>削減量</t>
    <rPh sb="0" eb="2">
      <t>サクゲン</t>
    </rPh>
    <rPh sb="2" eb="3">
      <t>リョウ</t>
    </rPh>
    <phoneticPr fontId="21"/>
  </si>
  <si>
    <t>合計  [1]</t>
    <phoneticPr fontId="21"/>
  </si>
  <si>
    <t>自家消費分</t>
    <phoneticPr fontId="21"/>
  </si>
  <si>
    <t>地域区分Ⅲ</t>
  </si>
  <si>
    <t>1）概要入力</t>
    <rPh sb="2" eb="4">
      <t>ガイヨウ</t>
    </rPh>
    <rPh sb="4" eb="6">
      <t>ニュウリョク</t>
    </rPh>
    <phoneticPr fontId="21"/>
  </si>
  <si>
    <t>地域区分Ⅳ</t>
  </si>
  <si>
    <t>① 建物概要</t>
    <rPh sb="2" eb="4">
      <t>タテモノ</t>
    </rPh>
    <rPh sb="4" eb="6">
      <t>ガイヨウ</t>
    </rPh>
    <phoneticPr fontId="21"/>
  </si>
  <si>
    <t>地域区分Ⅴ</t>
  </si>
  <si>
    <t>地域区分Ⅵ</t>
  </si>
  <si>
    <t>3.3.1</t>
    <phoneticPr fontId="21"/>
  </si>
  <si>
    <t>照度</t>
    <phoneticPr fontId="21"/>
  </si>
  <si>
    <t>3.3.2</t>
    <phoneticPr fontId="21"/>
  </si>
  <si>
    <t>※個別計算</t>
    <rPh sb="1" eb="3">
      <t>コベツ</t>
    </rPh>
    <rPh sb="3" eb="5">
      <t>ケイサン</t>
    </rPh>
    <phoneticPr fontId="21"/>
  </si>
  <si>
    <t>4500N/㎡以上</t>
    <phoneticPr fontId="21"/>
  </si>
  <si>
    <t>5200N/㎡以上</t>
    <phoneticPr fontId="21"/>
  </si>
  <si>
    <t>3500N/㎡以上</t>
    <phoneticPr fontId="21"/>
  </si>
  <si>
    <t>2900N/㎡以上</t>
    <phoneticPr fontId="21"/>
  </si>
  <si>
    <t>設備の更新性</t>
    <rPh sb="0" eb="2">
      <t>セツビ</t>
    </rPh>
    <rPh sb="3" eb="5">
      <t>コウシン</t>
    </rPh>
    <rPh sb="5" eb="6">
      <t>セイ</t>
    </rPh>
    <phoneticPr fontId="21"/>
  </si>
  <si>
    <t>構造部材を痛めなければ空調配管の更新・修繕ができない。</t>
  </si>
  <si>
    <t>IV 防犯性の配慮</t>
    <rPh sb="7" eb="9">
      <t>ハイリョ</t>
    </rPh>
    <phoneticPr fontId="21"/>
  </si>
  <si>
    <t>新築はなし</t>
    <rPh sb="0" eb="2">
      <t>シンチク</t>
    </rPh>
    <phoneticPr fontId="21"/>
  </si>
  <si>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1"/>
  </si>
  <si>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1"/>
  </si>
  <si>
    <t>V 建物利用者等の参加性</t>
    <rPh sb="2" eb="4">
      <t>タテモノ</t>
    </rPh>
    <rPh sb="4" eb="7">
      <t>リヨウシャ</t>
    </rPh>
    <rPh sb="7" eb="8">
      <t>トウ</t>
    </rPh>
    <rPh sb="9" eb="12">
      <t>サンカセイ</t>
    </rPh>
    <phoneticPr fontId="21"/>
  </si>
  <si>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</si>
  <si>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</si>
  <si>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</si>
  <si>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</si>
  <si>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1"/>
  </si>
  <si>
    <r>
      <t>kg-CO</t>
    </r>
    <r>
      <rPr>
        <vertAlign val="subscript"/>
        <sz val="10"/>
        <rFont val="ＭＳ Ｐゴシック"/>
        <family val="3"/>
        <charset val="128"/>
      </rPr>
      <t>2</t>
    </r>
    <r>
      <rPr>
        <sz val="10"/>
        <rFont val="ＭＳ Ｐゴシック"/>
        <family val="3"/>
        <charset val="128"/>
      </rPr>
      <t>/kWh</t>
    </r>
    <phoneticPr fontId="21"/>
  </si>
  <si>
    <t>実排出量との差</t>
    <phoneticPr fontId="21"/>
  </si>
  <si>
    <t>病院o</t>
    <phoneticPr fontId="21"/>
  </si>
  <si>
    <r>
      <t xml:space="preserve">3.2.3 </t>
    </r>
    <r>
      <rPr>
        <b/>
        <sz val="10"/>
        <rFont val="ＭＳ Ｐゴシック"/>
        <family val="3"/>
        <charset val="128"/>
      </rPr>
      <t>冷媒</t>
    </r>
    <rPh sb="6" eb="8">
      <t>レイバイ</t>
    </rPh>
    <phoneticPr fontId="21"/>
  </si>
  <si>
    <t>HCFCの冷媒を使用している。</t>
  </si>
  <si>
    <t>ODP=0の冷媒を使用している。</t>
  </si>
  <si>
    <t>ハロン消火剤の使用が認められるクリティカルユース用途   消防予第87号　消防危第84号　(平成17年4月28日)</t>
    <rPh sb="4" eb="5">
      <t>カ</t>
    </rPh>
    <phoneticPr fontId="21"/>
  </si>
  <si>
    <t>使用用途の種類</t>
  </si>
  <si>
    <t>用途例</t>
  </si>
  <si>
    <t>居室面積の1/10以上の開閉可能な窓を確保している。</t>
    <phoneticPr fontId="21"/>
  </si>
  <si>
    <t>評価点</t>
    <rPh sb="0" eb="3">
      <t>ヒョウカテン</t>
    </rPh>
    <phoneticPr fontId="21"/>
  </si>
  <si>
    <t>重み
係数</t>
    <rPh sb="0" eb="1">
      <t>オモ</t>
    </rPh>
    <phoneticPr fontId="21"/>
  </si>
  <si>
    <t>全体</t>
  </si>
  <si>
    <t>室内環境</t>
  </si>
  <si>
    <t>音環境</t>
    <rPh sb="0" eb="1">
      <t>ｵﾄ</t>
    </rPh>
    <rPh sb="1" eb="3">
      <t>ｶﾝｷｮｳ</t>
    </rPh>
    <phoneticPr fontId="34" type="noConversion"/>
  </si>
  <si>
    <t>室内騒音レベル</t>
    <phoneticPr fontId="21"/>
  </si>
  <si>
    <t>設備騒音対策</t>
    <phoneticPr fontId="21"/>
  </si>
  <si>
    <t>遮音</t>
  </si>
  <si>
    <t>雨水利用率＝</t>
    <rPh sb="0" eb="2">
      <t>アマミズ</t>
    </rPh>
    <rPh sb="2" eb="4">
      <t>リヨウ</t>
    </rPh>
    <rPh sb="4" eb="5">
      <t>リツ</t>
    </rPh>
    <phoneticPr fontId="21"/>
  </si>
  <si>
    <t>雨水利用予測量（m³）</t>
    <rPh sb="4" eb="6">
      <t>ヨソク</t>
    </rPh>
    <phoneticPr fontId="21"/>
  </si>
  <si>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1"/>
  </si>
  <si>
    <t>学(小中高)</t>
    <rPh sb="0" eb="1">
      <t>ガク</t>
    </rPh>
    <rPh sb="2" eb="3">
      <t>ショウ</t>
    </rPh>
    <rPh sb="3" eb="4">
      <t>チュウ</t>
    </rPh>
    <rPh sb="4" eb="5">
      <t>コウ</t>
    </rPh>
    <phoneticPr fontId="21"/>
  </si>
  <si>
    <t>■使用評価マニュアル：</t>
    <rPh sb="1" eb="3">
      <t>シヨウ</t>
    </rPh>
    <rPh sb="3" eb="5">
      <t>ヒョウカ</t>
    </rPh>
    <phoneticPr fontId="21"/>
  </si>
  <si>
    <t>ビルマルチエアコン室外機等からの騒音</t>
    <rPh sb="9" eb="12">
      <t>シツガイキ</t>
    </rPh>
    <rPh sb="12" eb="13">
      <t>トウ</t>
    </rPh>
    <rPh sb="16" eb="18">
      <t>ソウオン</t>
    </rPh>
    <phoneticPr fontId="21"/>
  </si>
  <si>
    <t>項目</t>
    <rPh sb="0" eb="2">
      <t>コウモク</t>
    </rPh>
    <phoneticPr fontId="21"/>
  </si>
  <si>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1"/>
  </si>
  <si>
    <t>住宅</t>
    <rPh sb="0" eb="2">
      <t>ジュウタク</t>
    </rPh>
    <phoneticPr fontId="21"/>
  </si>
  <si>
    <t>宴会場</t>
    <rPh sb="0" eb="3">
      <t>エンカイジョウ</t>
    </rPh>
    <phoneticPr fontId="21"/>
  </si>
  <si>
    <t>重役室・大会議室</t>
    <rPh sb="0" eb="3">
      <t>ジュウヤクシツ</t>
    </rPh>
    <rPh sb="4" eb="8">
      <t>ダイカイギシツ</t>
    </rPh>
    <phoneticPr fontId="21"/>
  </si>
  <si>
    <t>応接室</t>
    <rPh sb="0" eb="3">
      <t>オウセツシツ</t>
    </rPh>
    <phoneticPr fontId="21"/>
  </si>
  <si>
    <t>広さ・収納性</t>
    <rPh sb="0" eb="1">
      <t>ヒロ</t>
    </rPh>
    <rPh sb="3" eb="5">
      <t>シュウノウ</t>
    </rPh>
    <rPh sb="5" eb="6">
      <t>セイ</t>
    </rPh>
    <phoneticPr fontId="21"/>
  </si>
  <si>
    <t>高度情報通信設備対応</t>
    <rPh sb="0" eb="2">
      <t>コウド</t>
    </rPh>
    <rPh sb="2" eb="4">
      <t>ジョウホウ</t>
    </rPh>
    <rPh sb="4" eb="6">
      <t>ツウシン</t>
    </rPh>
    <rPh sb="6" eb="8">
      <t>セツビ</t>
    </rPh>
    <rPh sb="8" eb="10">
      <t>タイオウ</t>
    </rPh>
    <phoneticPr fontId="21"/>
  </si>
  <si>
    <t>バリアフリー計画</t>
    <rPh sb="6" eb="8">
      <t>ケイカク</t>
    </rPh>
    <phoneticPr fontId="21"/>
  </si>
  <si>
    <t>売電分</t>
    <rPh sb="0" eb="2">
      <t>バイデン</t>
    </rPh>
    <rPh sb="2" eb="3">
      <t>ブン</t>
    </rPh>
    <phoneticPr fontId="21"/>
  </si>
  <si>
    <t>修繕・更新・解体</t>
    <rPh sb="3" eb="5">
      <t>コウシン</t>
    </rPh>
    <phoneticPr fontId="21"/>
  </si>
  <si>
    <t>60＜ [騒音レベル]</t>
    <phoneticPr fontId="21"/>
  </si>
  <si>
    <t>45＜ [騒音レベル]</t>
    <phoneticPr fontId="21"/>
  </si>
  <si>
    <t>　レベル　1</t>
    <phoneticPr fontId="21"/>
  </si>
  <si>
    <t>■レベル　1</t>
    <phoneticPr fontId="21"/>
  </si>
  <si>
    <t>-</t>
    <phoneticPr fontId="21"/>
  </si>
  <si>
    <t>(該当するレベルなし)</t>
  </si>
  <si>
    <t>50＜ [騒音レベル] ≦60</t>
    <phoneticPr fontId="21"/>
  </si>
  <si>
    <t>■自然エネルギーの直接利用量</t>
    <rPh sb="1" eb="3">
      <t>シゼン</t>
    </rPh>
    <rPh sb="9" eb="11">
      <t>チョクセツ</t>
    </rPh>
    <rPh sb="11" eb="13">
      <t>リヨウ</t>
    </rPh>
    <rPh sb="13" eb="14">
      <t>リョウ</t>
    </rPh>
    <phoneticPr fontId="21"/>
  </si>
  <si>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1"/>
  </si>
  <si>
    <t>建物外皮の熱負荷抑制</t>
    <rPh sb="0" eb="2">
      <t>タテモノ</t>
    </rPh>
    <rPh sb="2" eb="4">
      <t>ガイヒ</t>
    </rPh>
    <rPh sb="5" eb="6">
      <t>ネツ</t>
    </rPh>
    <rPh sb="6" eb="8">
      <t>フカ</t>
    </rPh>
    <rPh sb="8" eb="10">
      <t>ヨクセイ</t>
    </rPh>
    <phoneticPr fontId="21"/>
  </si>
  <si>
    <t>商業建物</t>
    <rPh sb="0" eb="2">
      <t>ショウギョウ</t>
    </rPh>
    <rPh sb="2" eb="4">
      <t>タテモノ</t>
    </rPh>
    <phoneticPr fontId="21"/>
  </si>
  <si>
    <t>音楽喫茶店</t>
    <rPh sb="0" eb="2">
      <t>オンガク</t>
    </rPh>
    <rPh sb="2" eb="5">
      <t>キッサテン</t>
    </rPh>
    <phoneticPr fontId="21"/>
  </si>
  <si>
    <t>書籍店</t>
    <rPh sb="0" eb="2">
      <t>ショセキ</t>
    </rPh>
    <rPh sb="2" eb="3">
      <t>テン</t>
    </rPh>
    <phoneticPr fontId="21"/>
  </si>
  <si>
    <t>一般商店</t>
    <rPh sb="0" eb="2">
      <t>イッパン</t>
    </rPh>
    <rPh sb="2" eb="4">
      <t>ショウテン</t>
    </rPh>
    <phoneticPr fontId="21"/>
  </si>
  <si>
    <t>小会議室</t>
    <rPh sb="0" eb="4">
      <t>ショウカイギシツ</t>
    </rPh>
    <phoneticPr fontId="21"/>
  </si>
  <si>
    <t>タイプ・計算室</t>
    <rPh sb="4" eb="6">
      <t>ケイサン</t>
    </rPh>
    <rPh sb="6" eb="7">
      <t>シツ</t>
    </rPh>
    <phoneticPr fontId="21"/>
  </si>
  <si>
    <t>公共建物</t>
    <rPh sb="0" eb="2">
      <t>コウキョウ</t>
    </rPh>
    <rPh sb="2" eb="4">
      <t>タテモノ</t>
    </rPh>
    <phoneticPr fontId="21"/>
  </si>
  <si>
    <t>公会堂</t>
    <rPh sb="0" eb="3">
      <t>コウカイドウ</t>
    </rPh>
    <phoneticPr fontId="21"/>
  </si>
  <si>
    <t>美術館・博物館</t>
    <rPh sb="0" eb="2">
      <t>ビジュツ</t>
    </rPh>
    <rPh sb="2" eb="3">
      <t>カン</t>
    </rPh>
    <rPh sb="4" eb="7">
      <t>ハクブツカン</t>
    </rPh>
    <phoneticPr fontId="21"/>
  </si>
  <si>
    <t>図書閲覧室</t>
    <rPh sb="0" eb="2">
      <t>トショ</t>
    </rPh>
    <rPh sb="2" eb="4">
      <t>エツラン</t>
    </rPh>
    <rPh sb="4" eb="5">
      <t>シツ</t>
    </rPh>
    <phoneticPr fontId="21"/>
  </si>
  <si>
    <t>公会堂兼体育館</t>
    <rPh sb="0" eb="3">
      <t>コウカイドウ</t>
    </rPh>
    <rPh sb="3" eb="4">
      <t>ケン</t>
    </rPh>
    <rPh sb="4" eb="7">
      <t>タイイクカン</t>
    </rPh>
    <phoneticPr fontId="21"/>
  </si>
  <si>
    <t>屋内スポーツ施設（拡）</t>
    <rPh sb="0" eb="2">
      <t>オクナイ</t>
    </rPh>
    <rPh sb="6" eb="8">
      <t>シセツ</t>
    </rPh>
    <rPh sb="9" eb="10">
      <t>ヒロム</t>
    </rPh>
    <phoneticPr fontId="21"/>
  </si>
  <si>
    <t>学校・教会</t>
    <rPh sb="0" eb="2">
      <t>ガッコウ</t>
    </rPh>
    <rPh sb="3" eb="5">
      <t>キョウカイ</t>
    </rPh>
    <phoneticPr fontId="21"/>
  </si>
  <si>
    <t>音楽教室</t>
    <rPh sb="0" eb="2">
      <t>オンガク</t>
    </rPh>
    <rPh sb="2" eb="4">
      <t>キョウシツ</t>
    </rPh>
    <phoneticPr fontId="21"/>
  </si>
  <si>
    <t>3.1　空調設備</t>
    <rPh sb="4" eb="6">
      <t>クウチョウ</t>
    </rPh>
    <rPh sb="6" eb="8">
      <t>セツビ</t>
    </rPh>
    <phoneticPr fontId="21"/>
  </si>
  <si>
    <t>歴史的遺産等</t>
    <phoneticPr fontId="21"/>
  </si>
  <si>
    <t>その他</t>
    <phoneticPr fontId="21"/>
  </si>
  <si>
    <t>プラスチック系発泡断熱材に使用された発泡剤種類</t>
    <phoneticPr fontId="21"/>
  </si>
  <si>
    <t>ＯＤＰ</t>
    <phoneticPr fontId="21"/>
  </si>
  <si>
    <t>CFC-11</t>
    <phoneticPr fontId="21"/>
  </si>
  <si>
    <t>HCFC-141b</t>
    <phoneticPr fontId="21"/>
  </si>
  <si>
    <t>HFC-134a</t>
    <phoneticPr fontId="21"/>
  </si>
  <si>
    <t>HFC-245fa</t>
    <phoneticPr fontId="21"/>
  </si>
  <si>
    <t>悪臭</t>
    <rPh sb="0" eb="2">
      <t>アクシュウ</t>
    </rPh>
    <phoneticPr fontId="21"/>
  </si>
  <si>
    <t>LR3 3.2</t>
  </si>
  <si>
    <t>LR3 3.3</t>
  </si>
  <si>
    <t>光害の抑制</t>
    <rPh sb="0" eb="1">
      <t>ﾋｶﾘ</t>
    </rPh>
    <phoneticPr fontId="34" type="noConversion"/>
  </si>
  <si>
    <t>耐震･免震</t>
    <rPh sb="0" eb="2">
      <t>タイシン</t>
    </rPh>
    <rPh sb="3" eb="4">
      <t>メン</t>
    </rPh>
    <rPh sb="4" eb="5">
      <t>フル</t>
    </rPh>
    <phoneticPr fontId="21"/>
  </si>
  <si>
    <t>部品・部材の耐用年数</t>
    <rPh sb="0" eb="2">
      <t>ブヒン</t>
    </rPh>
    <rPh sb="3" eb="4">
      <t>ブ</t>
    </rPh>
    <rPh sb="4" eb="5">
      <t>ザイ</t>
    </rPh>
    <rPh sb="6" eb="8">
      <t>タイヨウ</t>
    </rPh>
    <rPh sb="8" eb="10">
      <t>ネンスウ</t>
    </rPh>
    <phoneticPr fontId="21"/>
  </si>
  <si>
    <r>
      <t>LR1</t>
    </r>
    <r>
      <rPr>
        <b/>
        <sz val="14"/>
        <rFont val="ＭＳ Ｐゴシック"/>
        <family val="3"/>
        <charset val="128"/>
      </rPr>
      <t>　エネルギー</t>
    </r>
    <phoneticPr fontId="21"/>
  </si>
  <si>
    <t>レベル３に満たない</t>
    <phoneticPr fontId="2"/>
  </si>
  <si>
    <t>事・学・物・飲・会・病・ホ</t>
    <phoneticPr fontId="21"/>
  </si>
  <si>
    <t>(a)　グリーン電力証書によるカーボンオフセット</t>
    <phoneticPr fontId="21"/>
  </si>
  <si>
    <r>
      <t xml:space="preserve">4.2.4 </t>
    </r>
    <r>
      <rPr>
        <b/>
        <sz val="10"/>
        <rFont val="ＭＳ Ｐゴシック"/>
        <family val="3"/>
        <charset val="128"/>
      </rPr>
      <t>給気計画</t>
    </r>
    <rPh sb="6" eb="7">
      <t>キュウ</t>
    </rPh>
    <rPh sb="7" eb="8">
      <t>キ</t>
    </rPh>
    <rPh sb="8" eb="10">
      <t>ケイカク</t>
    </rPh>
    <phoneticPr fontId="21"/>
  </si>
  <si>
    <t>事・学・物・飲・会・病・ホ・工・住</t>
    <phoneticPr fontId="21"/>
  </si>
  <si>
    <t>レベル３に満たない</t>
    <phoneticPr fontId="21"/>
  </si>
  <si>
    <t>冷暖房平均COPが1.25以上の熱源機器を採用</t>
    <phoneticPr fontId="21"/>
  </si>
  <si>
    <t>レベル３に満たない</t>
    <phoneticPr fontId="2"/>
  </si>
  <si>
    <t>1)地域の温熱環境状況に関する事前調査の実施</t>
  </si>
  <si>
    <t>既存なし</t>
    <rPh sb="0" eb="2">
      <t>キソン</t>
    </rPh>
    <phoneticPr fontId="21"/>
  </si>
  <si>
    <t>②①に加えさらに現地測定を行った場合や広域気象データや地形データに基づいた広域大気環境予測システムで補完してより詳細に調査した場合(2ポイント)</t>
  </si>
  <si>
    <t>Lr-40　またはそれより良い</t>
    <phoneticPr fontId="21"/>
  </si>
  <si>
    <t>1.2.4 界床遮音性能（重量衝撃源）</t>
    <phoneticPr fontId="21"/>
  </si>
  <si>
    <t>人のとびはねや走り回る音がうるさい。　</t>
    <phoneticPr fontId="21"/>
  </si>
  <si>
    <t>人のとびはねや走り回る音がかなり気になる。</t>
    <phoneticPr fontId="21"/>
  </si>
  <si>
    <t>人のとびはねや走り回る音がよく聞こえる。</t>
    <phoneticPr fontId="21"/>
  </si>
  <si>
    <t>人のとびはねや走り回る音が聞こえる。</t>
    <phoneticPr fontId="21"/>
  </si>
  <si>
    <t>人のとびはねや走り回る音が小さく聞こえる。</t>
    <phoneticPr fontId="21"/>
  </si>
  <si>
    <t>人のとびはねや走り回る音が聞こえるが意識することはあまりない。</t>
    <phoneticPr fontId="21"/>
  </si>
  <si>
    <t>Lr-60より悪い</t>
    <phoneticPr fontId="21"/>
  </si>
  <si>
    <t>Lr-45　またはそれより良い</t>
    <phoneticPr fontId="21"/>
  </si>
  <si>
    <t>病・ホ</t>
    <phoneticPr fontId="21"/>
  </si>
  <si>
    <t>建物全体・共用部分</t>
    <phoneticPr fontId="21"/>
  </si>
  <si>
    <t>学(大学等)</t>
    <phoneticPr fontId="21"/>
  </si>
  <si>
    <t>住</t>
    <phoneticPr fontId="21"/>
  </si>
  <si>
    <t>←</t>
    <phoneticPr fontId="21"/>
  </si>
  <si>
    <t>■使用評価ソフト：</t>
    <rPh sb="1" eb="3">
      <t>シヨウ</t>
    </rPh>
    <rPh sb="3" eb="5">
      <t>ヒョウカ</t>
    </rPh>
    <phoneticPr fontId="21"/>
  </si>
  <si>
    <r>
      <t>1-1</t>
    </r>
    <r>
      <rPr>
        <b/>
        <sz val="12"/>
        <color indexed="9"/>
        <rFont val="ＭＳ Ｐゴシック"/>
        <family val="3"/>
        <charset val="128"/>
      </rPr>
      <t>　建物概要</t>
    </r>
    <rPh sb="4" eb="5">
      <t>ｹﾝ</t>
    </rPh>
    <rPh sb="5" eb="6">
      <t>ﾓﾉ</t>
    </rPh>
    <rPh sb="6" eb="8">
      <t>ｶﾞｲﾖｳ</t>
    </rPh>
    <phoneticPr fontId="34" type="noConversion"/>
  </si>
  <si>
    <r>
      <t>1-2</t>
    </r>
    <r>
      <rPr>
        <b/>
        <sz val="12"/>
        <color indexed="9"/>
        <rFont val="ＭＳ Ｐゴシック"/>
        <family val="3"/>
        <charset val="128"/>
      </rPr>
      <t>　外観</t>
    </r>
    <rPh sb="4" eb="6">
      <t>ガイカン</t>
    </rPh>
    <phoneticPr fontId="21"/>
  </si>
  <si>
    <t>BEE rank</t>
    <phoneticPr fontId="21"/>
  </si>
  <si>
    <t>radar chart</t>
    <phoneticPr fontId="21"/>
  </si>
  <si>
    <t>建物名称</t>
    <rPh sb="0" eb="2">
      <t>ﾀﾃﾓﾉ</t>
    </rPh>
    <rPh sb="2" eb="4">
      <t>ﾒｲｼｮｳ</t>
    </rPh>
    <phoneticPr fontId="34" type="noConversion"/>
  </si>
  <si>
    <t>階数</t>
    <rPh sb="0" eb="2">
      <t>カイスウ</t>
    </rPh>
    <phoneticPr fontId="21"/>
  </si>
  <si>
    <t>radar chart</t>
  </si>
  <si>
    <t>Score(RoundDown)</t>
    <phoneticPr fontId="21"/>
  </si>
  <si>
    <t>建設地</t>
    <rPh sb="0" eb="3">
      <t>ｹﾝｾﾂﾁ</t>
    </rPh>
    <phoneticPr fontId="34" type="noConversion"/>
  </si>
  <si>
    <t>構造</t>
    <rPh sb="0" eb="2">
      <t>コウゾウ</t>
    </rPh>
    <phoneticPr fontId="21"/>
  </si>
  <si>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1"/>
  </si>
  <si>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</si>
  <si>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1"/>
  </si>
  <si>
    <t>１５年</t>
  </si>
  <si>
    <t>平均居住人員</t>
    <rPh sb="0" eb="2">
      <t>ﾍｲｷﾝ</t>
    </rPh>
    <rPh sb="2" eb="4">
      <t>ｷｮｼﾞｭｳ</t>
    </rPh>
    <rPh sb="4" eb="6">
      <t>ｼﾞﾝｲﾝ</t>
    </rPh>
    <phoneticPr fontId="34" type="noConversion"/>
  </si>
  <si>
    <t>人</t>
    <rPh sb="0" eb="1">
      <t>ニン</t>
    </rPh>
    <phoneticPr fontId="21"/>
  </si>
  <si>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1"/>
  </si>
  <si>
    <t>L</t>
    <phoneticPr fontId="21"/>
  </si>
  <si>
    <t>LR3 
敷地外環境</t>
    <rPh sb="5" eb="7">
      <t>シキチ</t>
    </rPh>
    <rPh sb="7" eb="8">
      <t>ガイ</t>
    </rPh>
    <rPh sb="8" eb="10">
      <t>カンキョウ</t>
    </rPh>
    <phoneticPr fontId="21"/>
  </si>
  <si>
    <t>建物用途</t>
    <rPh sb="0" eb="2">
      <t>ﾀﾃﾓﾉ</t>
    </rPh>
    <rPh sb="2" eb="4">
      <t>ﾖｳﾄ</t>
    </rPh>
    <phoneticPr fontId="34" type="noConversion"/>
  </si>
  <si>
    <t>評価の段階</t>
    <rPh sb="0" eb="2">
      <t>ヒョウカ</t>
    </rPh>
    <rPh sb="3" eb="5">
      <t>ダンカイ</t>
    </rPh>
    <phoneticPr fontId="21"/>
  </si>
  <si>
    <t>BEE</t>
    <phoneticPr fontId="21"/>
  </si>
  <si>
    <t>LR2 資源・
マテリアル</t>
    <rPh sb="4" eb="6">
      <t>シゲン</t>
    </rPh>
    <phoneticPr fontId="21"/>
  </si>
  <si>
    <t>レベル３を満たさない。</t>
    <phoneticPr fontId="21"/>
  </si>
  <si>
    <t>（該当するレベルなし）</t>
    <phoneticPr fontId="21"/>
  </si>
  <si>
    <t>教室の不足がある</t>
    <phoneticPr fontId="21"/>
  </si>
  <si>
    <t>1人当たりの執務スペースが6㎡以上。</t>
    <phoneticPr fontId="21"/>
  </si>
  <si>
    <t>教室の不足がない</t>
    <phoneticPr fontId="21"/>
  </si>
  <si>
    <t>（該当するレベルなし）</t>
    <phoneticPr fontId="21"/>
  </si>
  <si>
    <t>1人当たりの執務スペースが12㎡以上。</t>
    <phoneticPr fontId="21"/>
  </si>
  <si>
    <t>CO2削減量</t>
    <rPh sb="3" eb="5">
      <t>サクゲン</t>
    </rPh>
    <rPh sb="5" eb="6">
      <t>リョウ</t>
    </rPh>
    <phoneticPr fontId="21"/>
  </si>
  <si>
    <t>算定に用いた排出係数</t>
    <rPh sb="0" eb="2">
      <t>サンテイ</t>
    </rPh>
    <rPh sb="3" eb="4">
      <t>モチ</t>
    </rPh>
    <rPh sb="6" eb="8">
      <t>ハイシュツ</t>
    </rPh>
    <rPh sb="8" eb="10">
      <t>ケイスウ</t>
    </rPh>
    <phoneticPr fontId="21"/>
  </si>
  <si>
    <t>2100N/㎡以上～2900N/㎡未満</t>
    <phoneticPr fontId="21"/>
  </si>
  <si>
    <t>各住戸または各客室にGbitクラスのブロードバンドが利用可能な環境が整備されていること。</t>
    <phoneticPr fontId="21"/>
  </si>
  <si>
    <t>-</t>
    <phoneticPr fontId="21"/>
  </si>
  <si>
    <r>
      <t xml:space="preserve">1.2.1 </t>
    </r>
    <r>
      <rPr>
        <b/>
        <sz val="10"/>
        <rFont val="ＭＳ Ｐゴシック"/>
        <family val="3"/>
        <charset val="128"/>
      </rPr>
      <t>広さ感・景観</t>
    </r>
    <phoneticPr fontId="21"/>
  </si>
  <si>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</si>
  <si>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</si>
  <si>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</si>
  <si>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8"/>
  </si>
  <si>
    <t>建物用途</t>
  </si>
  <si>
    <t>官公庁</t>
  </si>
  <si>
    <t>物販店舗等</t>
    <rPh sb="0" eb="2">
      <t>ブッパン</t>
    </rPh>
    <rPh sb="2" eb="4">
      <t>テンポ</t>
    </rPh>
    <rPh sb="4" eb="5">
      <t>トウ</t>
    </rPh>
    <phoneticPr fontId="21"/>
  </si>
  <si>
    <t>その他物販</t>
  </si>
  <si>
    <t>ホテル・旅館</t>
  </si>
  <si>
    <t>学校等</t>
    <rPh sb="0" eb="2">
      <t>ガッコウ</t>
    </rPh>
    <rPh sb="2" eb="3">
      <t>トウ</t>
    </rPh>
    <phoneticPr fontId="21"/>
  </si>
  <si>
    <t>幼稚園・保育園</t>
  </si>
  <si>
    <t>小・中学校</t>
  </si>
  <si>
    <t>北海道</t>
    <rPh sb="0" eb="3">
      <t>ホッカイドウ</t>
    </rPh>
    <phoneticPr fontId="21"/>
  </si>
  <si>
    <t>高校</t>
  </si>
  <si>
    <t>大学・専門学校</t>
  </si>
  <si>
    <t>集会所等</t>
    <rPh sb="0" eb="3">
      <t>シュウカイジョ</t>
    </rPh>
    <rPh sb="3" eb="4">
      <t>トウ</t>
    </rPh>
    <phoneticPr fontId="21"/>
  </si>
  <si>
    <t>劇場・ホール</t>
  </si>
  <si>
    <t>展示施設</t>
  </si>
  <si>
    <t>スポーツ施設</t>
  </si>
  <si>
    <t>エネルギー種別一次エネルギー構成比率</t>
    <rPh sb="5" eb="7">
      <t>シュベツ</t>
    </rPh>
    <rPh sb="7" eb="9">
      <t>イチジ</t>
    </rPh>
    <rPh sb="14" eb="16">
      <t>コウセイ</t>
    </rPh>
    <rPh sb="16" eb="18">
      <t>ヒリツ</t>
    </rPh>
    <phoneticPr fontId="4"/>
  </si>
  <si>
    <t>300㎡未満</t>
    <rPh sb="4" eb="6">
      <t>ミマン</t>
    </rPh>
    <phoneticPr fontId="4"/>
  </si>
  <si>
    <t>300㎡以上
2,000㎡未満</t>
    <rPh sb="4" eb="6">
      <t>イジョウ</t>
    </rPh>
    <rPh sb="13" eb="15">
      <t>ミマン</t>
    </rPh>
    <phoneticPr fontId="4"/>
  </si>
  <si>
    <t>2,000㎡以上
1万㎡未満</t>
    <rPh sb="6" eb="8">
      <t>イジョウ</t>
    </rPh>
    <rPh sb="10" eb="11">
      <t>マン</t>
    </rPh>
    <rPh sb="12" eb="14">
      <t>ミマン</t>
    </rPh>
    <phoneticPr fontId="4"/>
  </si>
  <si>
    <t>1万㎡以上
3万㎡未満</t>
    <rPh sb="1" eb="2">
      <t>マン</t>
    </rPh>
    <rPh sb="3" eb="5">
      <t>イジョウ</t>
    </rPh>
    <rPh sb="7" eb="8">
      <t>マン</t>
    </rPh>
    <rPh sb="9" eb="11">
      <t>ミマン</t>
    </rPh>
    <phoneticPr fontId="4"/>
  </si>
  <si>
    <t>3万㎡以上</t>
    <rPh sb="1" eb="2">
      <t>マン</t>
    </rPh>
    <rPh sb="3" eb="5">
      <t>イジョウ</t>
    </rPh>
    <phoneticPr fontId="4"/>
  </si>
  <si>
    <t>電気</t>
    <rPh sb="0" eb="2">
      <t>デンキ</t>
    </rPh>
    <phoneticPr fontId="4"/>
  </si>
  <si>
    <t>その他※</t>
    <rPh sb="2" eb="3">
      <t>ホカ</t>
    </rPh>
    <phoneticPr fontId="4"/>
  </si>
  <si>
    <t>-</t>
  </si>
  <si>
    <t>※集合住宅は灯油</t>
    <rPh sb="1" eb="3">
      <t>シュウゴウ</t>
    </rPh>
    <rPh sb="3" eb="5">
      <t>ジュウタク</t>
    </rPh>
    <rPh sb="6" eb="8">
      <t>トウユ</t>
    </rPh>
    <phoneticPr fontId="21"/>
  </si>
  <si>
    <t>設備の方式</t>
  </si>
  <si>
    <t>地域区分</t>
  </si>
  <si>
    <t>暖房</t>
  </si>
  <si>
    <t>冷房</t>
  </si>
  <si>
    <t>ａ</t>
  </si>
  <si>
    <t>レベル１</t>
  </si>
  <si>
    <t>Ａ</t>
  </si>
  <si>
    <t>ｂ</t>
  </si>
  <si>
    <t>Ｂ</t>
  </si>
  <si>
    <t>Ｃ</t>
  </si>
  <si>
    <t>専有部</t>
    <rPh sb="0" eb="2">
      <t>センユウ</t>
    </rPh>
    <rPh sb="2" eb="3">
      <t>ブ</t>
    </rPh>
    <phoneticPr fontId="21"/>
  </si>
  <si>
    <t>評価建物</t>
    <rPh sb="0" eb="2">
      <t>ヒョウカ</t>
    </rPh>
    <rPh sb="2" eb="4">
      <t>タテモノ</t>
    </rPh>
    <phoneticPr fontId="21"/>
  </si>
  <si>
    <t>暖房方式</t>
    <rPh sb="0" eb="2">
      <t>ダンボウ</t>
    </rPh>
    <rPh sb="2" eb="4">
      <t>ホウシキ</t>
    </rPh>
    <phoneticPr fontId="21"/>
  </si>
  <si>
    <t>冷房方式</t>
    <rPh sb="0" eb="2">
      <t>レイボウ</t>
    </rPh>
    <rPh sb="2" eb="4">
      <t>ホウシキ</t>
    </rPh>
    <phoneticPr fontId="21"/>
  </si>
  <si>
    <t>CO2換算係数</t>
    <rPh sb="3" eb="5">
      <t>カンサン</t>
    </rPh>
    <rPh sb="5" eb="7">
      <t>ケイスウ</t>
    </rPh>
    <phoneticPr fontId="21"/>
  </si>
  <si>
    <t>㎡</t>
  </si>
  <si>
    <t xml:space="preserve">                     高校</t>
    <phoneticPr fontId="21"/>
  </si>
  <si>
    <t xml:space="preserve">         大学・専門学校</t>
    <phoneticPr fontId="21"/>
  </si>
  <si>
    <t>官公庁</t>
    <phoneticPr fontId="21"/>
  </si>
  <si>
    <t>その他物販</t>
    <phoneticPr fontId="21"/>
  </si>
  <si>
    <t>展示施設</t>
    <phoneticPr fontId="21"/>
  </si>
  <si>
    <t>スポーツ施設</t>
    <phoneticPr fontId="21"/>
  </si>
  <si>
    <t>㎡</t>
    <phoneticPr fontId="21"/>
  </si>
  <si>
    <t>小・中学校 (北海道以外）</t>
    <rPh sb="0" eb="1">
      <t>ショウ</t>
    </rPh>
    <rPh sb="2" eb="5">
      <t>チュウガッコウ</t>
    </rPh>
    <rPh sb="7" eb="10">
      <t>ホッカイドウ</t>
    </rPh>
    <rPh sb="10" eb="12">
      <t>イガイ</t>
    </rPh>
    <phoneticPr fontId="21"/>
  </si>
  <si>
    <t xml:space="preserve">                   共用部</t>
    <rPh sb="19" eb="21">
      <t>キョウヨウ</t>
    </rPh>
    <rPh sb="21" eb="22">
      <t>ブ</t>
    </rPh>
    <phoneticPr fontId="21"/>
  </si>
  <si>
    <t>㎡       幼稚園・保育園</t>
    <phoneticPr fontId="21"/>
  </si>
  <si>
    <t>㎡                  事務所</t>
    <phoneticPr fontId="21"/>
  </si>
  <si>
    <t>㎡   デパート・スーパー</t>
    <phoneticPr fontId="21"/>
  </si>
  <si>
    <t>㎡          劇場・ホール</t>
    <phoneticPr fontId="21"/>
  </si>
  <si>
    <t>㎡                  専用部</t>
    <rPh sb="19" eb="21">
      <t>センヨウ</t>
    </rPh>
    <rPh sb="21" eb="22">
      <t>ブ</t>
    </rPh>
    <phoneticPr fontId="21"/>
  </si>
  <si>
    <t>自然換気性能</t>
    <rPh sb="0" eb="2">
      <t>シゼン</t>
    </rPh>
    <rPh sb="2" eb="4">
      <t>カンキ</t>
    </rPh>
    <rPh sb="4" eb="6">
      <t>セイノウ</t>
    </rPh>
    <phoneticPr fontId="21"/>
  </si>
  <si>
    <t>取り入れ外気への配慮</t>
    <rPh sb="0" eb="1">
      <t>ト</t>
    </rPh>
    <rPh sb="2" eb="3">
      <t>イ</t>
    </rPh>
    <rPh sb="4" eb="6">
      <t>ガイキ</t>
    </rPh>
    <rPh sb="8" eb="10">
      <t>ハイリョ</t>
    </rPh>
    <phoneticPr fontId="21"/>
  </si>
  <si>
    <t>給気計画</t>
    <rPh sb="0" eb="1">
      <t>キュウ</t>
    </rPh>
    <rPh sb="1" eb="2">
      <t>キ</t>
    </rPh>
    <rPh sb="2" eb="4">
      <t>ケイカク</t>
    </rPh>
    <phoneticPr fontId="21"/>
  </si>
  <si>
    <t>運用管理</t>
    <rPh sb="0" eb="2">
      <t>ウンヨウ</t>
    </rPh>
    <rPh sb="2" eb="4">
      <t>カンリ</t>
    </rPh>
    <phoneticPr fontId="21"/>
  </si>
  <si>
    <r>
      <t>CO</t>
    </r>
    <r>
      <rPr>
        <vertAlign val="subscript"/>
        <sz val="10"/>
        <rFont val="ＭＳ Ｐゴシック"/>
        <family val="3"/>
        <charset val="128"/>
      </rPr>
      <t>2</t>
    </r>
    <r>
      <rPr>
        <sz val="10"/>
        <rFont val="ＭＳ Ｐゴシック"/>
        <family val="3"/>
        <charset val="128"/>
      </rPr>
      <t>の監視</t>
    </r>
    <rPh sb="4" eb="6">
      <t>カンシ</t>
    </rPh>
    <phoneticPr fontId="21"/>
  </si>
  <si>
    <t>喫煙の制御</t>
    <rPh sb="0" eb="2">
      <t>キツエン</t>
    </rPh>
    <rPh sb="3" eb="5">
      <t>セイギョ</t>
    </rPh>
    <phoneticPr fontId="21"/>
  </si>
  <si>
    <t>機能性</t>
    <rPh sb="0" eb="3">
      <t>ｷﾉｳｾｲ</t>
    </rPh>
    <phoneticPr fontId="34" type="noConversion"/>
  </si>
  <si>
    <t>機能性・使いやすさ</t>
    <rPh sb="0" eb="3">
      <t>キノウセイ</t>
    </rPh>
    <rPh sb="4" eb="5">
      <t>ツカ</t>
    </rPh>
    <phoneticPr fontId="21"/>
  </si>
  <si>
    <t>3.2　換気設備</t>
    <rPh sb="4" eb="6">
      <t>カンキ</t>
    </rPh>
    <rPh sb="6" eb="8">
      <t>セツビ</t>
    </rPh>
    <phoneticPr fontId="21"/>
  </si>
  <si>
    <t>3.3　照明設備</t>
    <rPh sb="4" eb="6">
      <t>ショウメイ</t>
    </rPh>
    <rPh sb="6" eb="8">
      <t>セツビ</t>
    </rPh>
    <phoneticPr fontId="21"/>
  </si>
  <si>
    <t>Hf(高周波点灯専用型）が採用されている。</t>
    <rPh sb="13" eb="15">
      <t>サイヨウ</t>
    </rPh>
    <phoneticPr fontId="2"/>
  </si>
  <si>
    <t>3.4　給湯設備</t>
    <rPh sb="4" eb="6">
      <t>キュウトウ</t>
    </rPh>
    <rPh sb="6" eb="8">
      <t>セツビ</t>
    </rPh>
    <phoneticPr fontId="21"/>
  </si>
  <si>
    <t>3.5　昇降機設備</t>
    <rPh sb="4" eb="7">
      <t>ショウコウキ</t>
    </rPh>
    <rPh sb="7" eb="9">
      <t>セツビ</t>
    </rPh>
    <phoneticPr fontId="21"/>
  </si>
  <si>
    <t>塗膜防水の塗料</t>
    <rPh sb="0" eb="1">
      <t>ヌ</t>
    </rPh>
    <rPh sb="1" eb="2">
      <t>マク</t>
    </rPh>
    <rPh sb="2" eb="4">
      <t>ボウスイ</t>
    </rPh>
    <rPh sb="5" eb="7">
      <t>トリョウ</t>
    </rPh>
    <phoneticPr fontId="21"/>
  </si>
  <si>
    <t>塗料</t>
    <rPh sb="0" eb="2">
      <t>トリョウ</t>
    </rPh>
    <phoneticPr fontId="21"/>
  </si>
  <si>
    <t>建具塗装（木製・金属製）</t>
    <rPh sb="0" eb="2">
      <t>タテグ</t>
    </rPh>
    <rPh sb="2" eb="4">
      <t>トソウ</t>
    </rPh>
    <rPh sb="5" eb="7">
      <t>モクセイ</t>
    </rPh>
    <rPh sb="8" eb="11">
      <t>キンゾクセイ</t>
    </rPh>
    <phoneticPr fontId="21"/>
  </si>
  <si>
    <t>木部塗装（巾木・廻り縁など）</t>
    <rPh sb="0" eb="2">
      <t>モクブ</t>
    </rPh>
    <rPh sb="2" eb="4">
      <t>トソウ</t>
    </rPh>
    <rPh sb="5" eb="6">
      <t>ハバ</t>
    </rPh>
    <rPh sb="6" eb="7">
      <t>キ</t>
    </rPh>
    <rPh sb="8" eb="9">
      <t>マワ</t>
    </rPh>
    <rPh sb="10" eb="11">
      <t>ブチ</t>
    </rPh>
    <phoneticPr fontId="21"/>
  </si>
  <si>
    <t>構造体の塗装</t>
    <rPh sb="0" eb="3">
      <t>コウゾウタイ</t>
    </rPh>
    <rPh sb="4" eb="6">
      <t>トソウ</t>
    </rPh>
    <phoneticPr fontId="21"/>
  </si>
  <si>
    <t>壁塗装</t>
    <rPh sb="0" eb="1">
      <t>カベ</t>
    </rPh>
    <rPh sb="1" eb="3">
      <t>トソウ</t>
    </rPh>
    <phoneticPr fontId="21"/>
  </si>
  <si>
    <t>II 分別回収を推進するための空間整備や設備の設置</t>
    <phoneticPr fontId="21"/>
  </si>
  <si>
    <t>1～2</t>
    <phoneticPr fontId="21"/>
  </si>
  <si>
    <t>レベル３</t>
    <phoneticPr fontId="21"/>
  </si>
  <si>
    <t>LR-3 敷地外環境</t>
    <rPh sb="5" eb="7">
      <t>シキチ</t>
    </rPh>
    <rPh sb="7" eb="8">
      <t>ガイ</t>
    </rPh>
    <rPh sb="8" eb="10">
      <t>カンキョウ</t>
    </rPh>
    <phoneticPr fontId="21"/>
  </si>
  <si>
    <t>熱負荷抑制</t>
    <rPh sb="0" eb="1">
      <t>ネツ</t>
    </rPh>
    <rPh sb="1" eb="3">
      <t>フカ</t>
    </rPh>
    <rPh sb="3" eb="5">
      <t>ヨクセイ</t>
    </rPh>
    <phoneticPr fontId="21"/>
  </si>
  <si>
    <t>水資源</t>
    <rPh sb="0" eb="1">
      <t>ミズ</t>
    </rPh>
    <rPh sb="1" eb="3">
      <t>シゲン</t>
    </rPh>
    <phoneticPr fontId="21"/>
  </si>
  <si>
    <t>LR2</t>
    <phoneticPr fontId="21"/>
  </si>
  <si>
    <t>昼光の建物外壁による反射光（グレア）への対策</t>
    <rPh sb="0" eb="1">
      <t>ﾋﾙ</t>
    </rPh>
    <rPh sb="1" eb="2">
      <t>ﾋｶﾘ</t>
    </rPh>
    <rPh sb="3" eb="5">
      <t>ﾀﾃﾓﾉ</t>
    </rPh>
    <rPh sb="5" eb="7">
      <t>ｶﾞｲﾍｷ</t>
    </rPh>
    <rPh sb="10" eb="13">
      <t>ﾊﾝｼｬｺｳ</t>
    </rPh>
    <rPh sb="20" eb="22">
      <t>ﾀｲｻｸ</t>
    </rPh>
    <phoneticPr fontId="34"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</si>
  <si>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1"/>
  </si>
  <si>
    <t>評価対象</t>
    <rPh sb="0" eb="2">
      <t>ヒョウカ</t>
    </rPh>
    <rPh sb="2" eb="4">
      <t>タイショウ</t>
    </rPh>
    <phoneticPr fontId="21"/>
  </si>
  <si>
    <t>参照値</t>
    <rPh sb="0" eb="2">
      <t>サンショウ</t>
    </rPh>
    <rPh sb="2" eb="3">
      <t>チ</t>
    </rPh>
    <phoneticPr fontId="21"/>
  </si>
  <si>
    <t>LR2/2.3 躯体材料におけるﾘｻｲｸﾙ材（高炉セメント）</t>
    <rPh sb="8" eb="10">
      <t>クタイ</t>
    </rPh>
    <rPh sb="10" eb="12">
      <t>ザイリョウ</t>
    </rPh>
    <rPh sb="21" eb="22">
      <t>ザイ</t>
    </rPh>
    <rPh sb="23" eb="25">
      <t>コウロ</t>
    </rPh>
    <phoneticPr fontId="21"/>
  </si>
  <si>
    <t>1-2.　合計の計算</t>
    <rPh sb="5" eb="7">
      <t>ゴウケイ</t>
    </rPh>
    <rPh sb="8" eb="10">
      <t>ケイサン</t>
    </rPh>
    <phoneticPr fontId="21"/>
  </si>
  <si>
    <t>建物寿命</t>
    <rPh sb="0" eb="2">
      <t>タテモノ</t>
    </rPh>
    <rPh sb="2" eb="4">
      <t>ジュミョウ</t>
    </rPh>
    <phoneticPr fontId="21"/>
  </si>
  <si>
    <t>代表的な資材量</t>
    <rPh sb="0" eb="3">
      <t>ダイヒョウテキ</t>
    </rPh>
    <rPh sb="4" eb="6">
      <t>シザイ</t>
    </rPh>
    <rPh sb="6" eb="7">
      <t>リョウ</t>
    </rPh>
    <phoneticPr fontId="21"/>
  </si>
  <si>
    <t>LR2/2.2 既存建築躯体</t>
    <rPh sb="8" eb="10">
      <t>キソン</t>
    </rPh>
    <rPh sb="10" eb="12">
      <t>ケンチク</t>
    </rPh>
    <rPh sb="12" eb="14">
      <t>クタイ</t>
    </rPh>
    <phoneticPr fontId="21"/>
  </si>
  <si>
    <t>LR2/2.3 ﾘｻｲｸﾙ材（高炉セメント）</t>
    <rPh sb="13" eb="14">
      <t>ザイ</t>
    </rPh>
    <rPh sb="15" eb="17">
      <t>コウロ</t>
    </rPh>
    <phoneticPr fontId="21"/>
  </si>
  <si>
    <t>普通コンクリート</t>
    <rPh sb="0" eb="2">
      <t>フツウ</t>
    </rPh>
    <phoneticPr fontId="21"/>
  </si>
  <si>
    <t>ｍ3/㎡</t>
  </si>
  <si>
    <t>高炉セメントコンクリート</t>
    <rPh sb="0" eb="2">
      <t>コウロ</t>
    </rPh>
    <phoneticPr fontId="21"/>
  </si>
  <si>
    <t>鉄　骨</t>
    <rPh sb="0" eb="1">
      <t>テツ</t>
    </rPh>
    <rPh sb="2" eb="3">
      <t>ホネ</t>
    </rPh>
    <phoneticPr fontId="21"/>
  </si>
  <si>
    <t>ｔ/㎡</t>
  </si>
  <si>
    <t>鉄骨 (電炉）</t>
    <rPh sb="0" eb="1">
      <t>テツ</t>
    </rPh>
    <rPh sb="1" eb="2">
      <t>ホネ</t>
    </rPh>
    <rPh sb="4" eb="6">
      <t>デンロ</t>
    </rPh>
    <phoneticPr fontId="21"/>
  </si>
  <si>
    <t>鉄　筋</t>
    <rPh sb="0" eb="1">
      <t>テツ</t>
    </rPh>
    <rPh sb="2" eb="3">
      <t>スジ</t>
    </rPh>
    <phoneticPr fontId="21"/>
  </si>
  <si>
    <t>◇算定省令に基づく電気事業者ごとの実排出係数及び代替値</t>
    <phoneticPr fontId="21"/>
  </si>
  <si>
    <t>ｔ-CO2/kWh</t>
    <phoneticPr fontId="21"/>
  </si>
  <si>
    <t xml:space="preserve"> [1]実排出係数 </t>
    <phoneticPr fontId="21"/>
  </si>
  <si>
    <t>排出係数</t>
    <phoneticPr fontId="21"/>
  </si>
  <si>
    <t>N.A.</t>
    <phoneticPr fontId="21"/>
  </si>
  <si>
    <t>(t-CO2/kWh)</t>
    <phoneticPr fontId="21"/>
  </si>
  <si>
    <t>　　①</t>
    <phoneticPr fontId="21"/>
  </si>
  <si>
    <t>排出係数</t>
    <phoneticPr fontId="21"/>
  </si>
  <si>
    <t>　　②</t>
    <phoneticPr fontId="21"/>
  </si>
  <si>
    <t>　　③</t>
    <phoneticPr fontId="21"/>
  </si>
  <si>
    <t>代替値</t>
    <phoneticPr fontId="21"/>
  </si>
  <si>
    <t>(t-CO2/kWh)</t>
    <phoneticPr fontId="21"/>
  </si>
  <si>
    <t>　（３）上記以外の場合</t>
    <phoneticPr fontId="21"/>
  </si>
  <si>
    <t>SQ</t>
    <phoneticPr fontId="21"/>
  </si>
  <si>
    <t>background</t>
    <phoneticPr fontId="21"/>
  </si>
  <si>
    <t>Score(RoundDown)</t>
    <phoneticPr fontId="21"/>
  </si>
  <si>
    <t>std</t>
    <phoneticPr fontId="21"/>
  </si>
  <si>
    <t>SLR</t>
    <phoneticPr fontId="21"/>
  </si>
  <si>
    <t>Q2</t>
    <phoneticPr fontId="21"/>
  </si>
  <si>
    <t>全般照明方式の場合で室内にやや不快に感じる程度の暗い部分がある。</t>
    <phoneticPr fontId="21"/>
  </si>
  <si>
    <t>全般照明方式の場合で室内にほとんど暗い部分がない。</t>
    <phoneticPr fontId="21"/>
  </si>
  <si>
    <t>病</t>
    <phoneticPr fontId="21"/>
  </si>
  <si>
    <t>照明制御ができない。</t>
    <phoneticPr fontId="21"/>
  </si>
  <si>
    <t>執務者・売り場等について複数単位の大まかな照明制御ができる。</t>
    <phoneticPr fontId="21"/>
  </si>
  <si>
    <t>明るさや学習形態に応じた制御区画ではない。</t>
    <phoneticPr fontId="21"/>
  </si>
  <si>
    <t>照明制御ができない。</t>
    <phoneticPr fontId="21"/>
  </si>
  <si>
    <t>病(診)</t>
    <rPh sb="0" eb="1">
      <t>ビョウ</t>
    </rPh>
    <rPh sb="2" eb="3">
      <t>ミ</t>
    </rPh>
    <phoneticPr fontId="21"/>
  </si>
  <si>
    <r>
      <t xml:space="preserve">2.3.1 </t>
    </r>
    <r>
      <rPr>
        <b/>
        <sz val="10"/>
        <rFont val="ＭＳ Ｐゴシック"/>
        <family val="3"/>
        <charset val="128"/>
      </rPr>
      <t>上下温度差</t>
    </r>
    <rPh sb="6" eb="8">
      <t>ジョウゲ</t>
    </rPh>
    <rPh sb="8" eb="11">
      <t>オンドサ</t>
    </rPh>
    <phoneticPr fontId="21"/>
  </si>
  <si>
    <r>
      <t xml:space="preserve">2.3.2 </t>
    </r>
    <r>
      <rPr>
        <b/>
        <sz val="10"/>
        <rFont val="ＭＳ Ｐゴシック"/>
        <family val="3"/>
        <charset val="128"/>
      </rPr>
      <t>平均気流速度</t>
    </r>
    <rPh sb="6" eb="8">
      <t>ヘイキン</t>
    </rPh>
    <rPh sb="8" eb="10">
      <t>キリュウ</t>
    </rPh>
    <rPh sb="10" eb="12">
      <t>ソクド</t>
    </rPh>
    <phoneticPr fontId="21"/>
  </si>
  <si>
    <t>事・学・物・飲・会・病（待・診）・ホ・工・住</t>
    <rPh sb="0" eb="1">
      <t>コト</t>
    </rPh>
    <rPh sb="2" eb="3">
      <t>ガク</t>
    </rPh>
    <rPh sb="4" eb="5">
      <t>モノ</t>
    </rPh>
    <rPh sb="6" eb="7">
      <t>イン</t>
    </rPh>
    <rPh sb="8" eb="9">
      <t>カイ</t>
    </rPh>
    <rPh sb="10" eb="11">
      <t>ヤマイ</t>
    </rPh>
    <rPh sb="21" eb="22">
      <t>ジュウ</t>
    </rPh>
    <phoneticPr fontId="21"/>
  </si>
  <si>
    <t>0.45ｍ/ｓ＜ [平均気流速度]</t>
  </si>
  <si>
    <t>0.35ｍ/ｓ＜ [平均気流速度] ≦0.45ｍ/ｓ</t>
  </si>
  <si>
    <t>0.25ｍ/ｓ＜ [平均気流速度] ≦0.35ｍ/ｓ</t>
  </si>
  <si>
    <t>0.15ｍ/ｓ＜ [平均気流速度] ≦0.25ｍ/ｓ</t>
  </si>
  <si>
    <t>[上下温度差] ≦2℃</t>
  </si>
  <si>
    <t>[平均気流速度] ≦0.15ｍ/ｓ</t>
  </si>
  <si>
    <r>
      <t>3.2.2</t>
    </r>
    <r>
      <rPr>
        <b/>
        <sz val="10"/>
        <rFont val="ＭＳ Ｐゴシック"/>
        <family val="3"/>
        <charset val="128"/>
      </rPr>
      <t>　砂塵の抑制</t>
    </r>
    <rPh sb="6" eb="8">
      <t>サジン</t>
    </rPh>
    <rPh sb="9" eb="11">
      <t>ヨクセイ</t>
    </rPh>
    <phoneticPr fontId="21"/>
  </si>
  <si>
    <t>学(小中高)</t>
    <rPh sb="2" eb="5">
      <t>ショウチュウコウ</t>
    </rPh>
    <phoneticPr fontId="21"/>
  </si>
  <si>
    <t>（評価ポイント　0）</t>
  </si>
  <si>
    <t>3）校庭を砂塵が発生しない舗装または芝生としている。</t>
  </si>
  <si>
    <r>
      <t xml:space="preserve">3.2.3 </t>
    </r>
    <r>
      <rPr>
        <b/>
        <sz val="10"/>
        <rFont val="ＭＳ Ｐゴシック"/>
        <family val="3"/>
        <charset val="128"/>
      </rPr>
      <t>日照阻害の抑制</t>
    </r>
    <rPh sb="6" eb="8">
      <t>ニッショウ</t>
    </rPh>
    <phoneticPr fontId="21"/>
  </si>
  <si>
    <t>光害の抑制</t>
    <rPh sb="0" eb="1">
      <t>ヒカリ</t>
    </rPh>
    <rPh sb="1" eb="2">
      <t>ガイ</t>
    </rPh>
    <rPh sb="3" eb="5">
      <t>ヨクセイ</t>
    </rPh>
    <phoneticPr fontId="21"/>
  </si>
  <si>
    <t>評価する取組み</t>
    <rPh sb="0" eb="2">
      <t>ヒョウカ</t>
    </rPh>
    <rPh sb="4" eb="5">
      <t>ト</t>
    </rPh>
    <rPh sb="5" eb="6">
      <t>ク</t>
    </rPh>
    <phoneticPr fontId="21"/>
  </si>
  <si>
    <t>1)　屋外照明および屋内照明のうち外に漏れる光</t>
  </si>
  <si>
    <t>配管からの騒音（透過騒音）</t>
    <rPh sb="0" eb="2">
      <t>ハイカン</t>
    </rPh>
    <rPh sb="5" eb="7">
      <t>ソウオン</t>
    </rPh>
    <rPh sb="8" eb="10">
      <t>トウカ</t>
    </rPh>
    <rPh sb="10" eb="12">
      <t>ソウオン</t>
    </rPh>
    <phoneticPr fontId="21"/>
  </si>
  <si>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1"/>
  </si>
  <si>
    <t>学・物・飲・会</t>
    <rPh sb="0" eb="1">
      <t>ガク</t>
    </rPh>
    <rPh sb="2" eb="3">
      <t>ブツ</t>
    </rPh>
    <rPh sb="4" eb="5">
      <t>イン</t>
    </rPh>
    <rPh sb="6" eb="7">
      <t>カイ</t>
    </rPh>
    <phoneticPr fontId="21"/>
  </si>
  <si>
    <t>急激な負荷変動に対する考慮は特にしていない。</t>
  </si>
  <si>
    <t>食堂</t>
    <rPh sb="0" eb="2">
      <t>ショクドウ</t>
    </rPh>
    <phoneticPr fontId="21"/>
  </si>
  <si>
    <r>
      <t xml:space="preserve">1.1.2 </t>
    </r>
    <r>
      <rPr>
        <b/>
        <sz val="10"/>
        <rFont val="ＭＳ Ｐゴシック"/>
        <family val="3"/>
        <charset val="128"/>
      </rPr>
      <t>設備騒音対策</t>
    </r>
    <rPh sb="6" eb="8">
      <t>セツビ</t>
    </rPh>
    <rPh sb="8" eb="10">
      <t>ソウオン</t>
    </rPh>
    <rPh sb="10" eb="11">
      <t>タイ</t>
    </rPh>
    <rPh sb="11" eb="12">
      <t>サク</t>
    </rPh>
    <phoneticPr fontId="21"/>
  </si>
  <si>
    <t>建物全体・共用部分</t>
    <phoneticPr fontId="21"/>
  </si>
  <si>
    <t>住</t>
  </si>
  <si>
    <t>騒音対策を行っていない（評価する取組みにおいてなんら取組みがない）</t>
  </si>
  <si>
    <t>同上（固体伝播音）</t>
    <rPh sb="0" eb="2">
      <t>ドウジョウ</t>
    </rPh>
    <rPh sb="3" eb="5">
      <t>コタイ</t>
    </rPh>
    <rPh sb="5" eb="7">
      <t>デンパン</t>
    </rPh>
    <rPh sb="7" eb="8">
      <t>オン</t>
    </rPh>
    <phoneticPr fontId="21"/>
  </si>
  <si>
    <t>ビルマルチエアコン室内機等からの騒音</t>
    <rPh sb="9" eb="12">
      <t>シツナイキ</t>
    </rPh>
    <rPh sb="12" eb="13">
      <t>トウ</t>
    </rPh>
    <rPh sb="16" eb="18">
      <t>ソウオン</t>
    </rPh>
    <phoneticPr fontId="21"/>
  </si>
  <si>
    <t>低騒音タイプの機器の採用など</t>
    <rPh sb="0" eb="3">
      <t>テイソウオン</t>
    </rPh>
    <rPh sb="7" eb="9">
      <t>キキ</t>
    </rPh>
    <rPh sb="10" eb="12">
      <t>サイヨウ</t>
    </rPh>
    <phoneticPr fontId="21"/>
  </si>
  <si>
    <t>１～７地域</t>
    <rPh sb="3" eb="5">
      <t>チイキ</t>
    </rPh>
    <phoneticPr fontId="21"/>
  </si>
  <si>
    <t>1～7地域</t>
    <rPh sb="3" eb="5">
      <t>チイキ</t>
    </rPh>
    <phoneticPr fontId="21"/>
  </si>
  <si>
    <t>自然エネルギーの利用</t>
    <rPh sb="0" eb="2">
      <t>シゼン</t>
    </rPh>
    <rPh sb="8" eb="10">
      <t>リヨウ</t>
    </rPh>
    <rPh sb="9" eb="10">
      <t>チョクリ</t>
    </rPh>
    <phoneticPr fontId="21"/>
  </si>
  <si>
    <t>事・学・物・飲・会・病(待)・ホ・工・住</t>
    <rPh sb="12" eb="13">
      <t>マ</t>
    </rPh>
    <rPh sb="19" eb="20">
      <t>ジュウ</t>
    </rPh>
    <phoneticPr fontId="21"/>
  </si>
  <si>
    <t>事・学・物・飲・会・病・ホ・工</t>
    <rPh sb="0" eb="1">
      <t>コト</t>
    </rPh>
    <rPh sb="2" eb="3">
      <t>ガク</t>
    </rPh>
    <rPh sb="4" eb="5">
      <t>モノ</t>
    </rPh>
    <rPh sb="6" eb="7">
      <t>イン</t>
    </rPh>
    <rPh sb="8" eb="9">
      <t>カイ</t>
    </rPh>
    <rPh sb="10" eb="11">
      <t>ヤマイ</t>
    </rPh>
    <rPh sb="14" eb="15">
      <t>コウ</t>
    </rPh>
    <phoneticPr fontId="21"/>
  </si>
  <si>
    <t xml:space="preserve">評価する取組み表の評価ポイントの合計値が6～12ポイント </t>
    <phoneticPr fontId="21"/>
  </si>
  <si>
    <t>評価する取組み表の評価ポイントの合計値が13～19ポイント</t>
    <phoneticPr fontId="21"/>
  </si>
  <si>
    <t>評価する取組み表の評価ポイントの合計値が20ポイント以上</t>
    <phoneticPr fontId="21"/>
  </si>
  <si>
    <t>評価項目</t>
    <phoneticPr fontId="21"/>
  </si>
  <si>
    <t>評価ポイント</t>
    <phoneticPr fontId="21"/>
  </si>
  <si>
    <t>①近くの気象台データや地域気象観測データ(アメダスデータ)等の既存データを用いて風向風速卓越風などの風環境を把握している場合(1ポイント)</t>
    <phoneticPr fontId="21"/>
  </si>
  <si>
    <t>1～2</t>
    <phoneticPr fontId="21"/>
  </si>
  <si>
    <t>LR2 3.2</t>
  </si>
  <si>
    <t>発泡剤（断熱材等）</t>
  </si>
  <si>
    <t>冷媒</t>
  </si>
  <si>
    <t>LR3 2</t>
  </si>
  <si>
    <t>LR3 2.3</t>
  </si>
  <si>
    <t>LR3 3</t>
  </si>
  <si>
    <t>LR3 3.1</t>
  </si>
  <si>
    <t>振動</t>
    <rPh sb="0" eb="2">
      <t>ｼﾝﾄﾞｳ</t>
    </rPh>
    <phoneticPr fontId="34" type="noConversion"/>
  </si>
  <si>
    <t>換算係数</t>
    <rPh sb="0" eb="2">
      <t>カンサン</t>
    </rPh>
    <rPh sb="2" eb="4">
      <t>ケイスウ</t>
    </rPh>
    <phoneticPr fontId="23"/>
  </si>
  <si>
    <t>　レベル　1</t>
    <phoneticPr fontId="21"/>
  </si>
  <si>
    <t>隣棟間隔指標Rwが
　・0.3以上0.4未満の場合(1ポイント)
　・0.4以上0.5未満の場合(2ポイント)
　・0.5以上の場合(3ポイント)</t>
    <phoneticPr fontId="21"/>
  </si>
  <si>
    <t>地表面対策面積率が
　・15％以上30％未満の場合(1ポイント)
　・30％以上45％未満の場合(2ポイント)
　・45％以上の場合(3ポイント)</t>
    <phoneticPr fontId="21"/>
  </si>
  <si>
    <t>屋根面対策面積率が
　・20％未満の場合(1ポイント)
　・20％以上40％未満の場合(2ポイント)
　・40％以上の場合(3ポイント)</t>
    <phoneticPr fontId="21"/>
  </si>
  <si>
    <t>外壁面対策面積率が
　・10％未満の場合(1ポイント)
　・10％以上20％未満の場合(2ポイント)
　・20％以上の場合(3ポイント)</t>
    <phoneticPr fontId="21"/>
  </si>
  <si>
    <t>「LR1エネルギー」のスコア(評価結果)が
　・3.0以上4.0未満(1ポイント)
　・4.0以上4.5未満(2ポイント)
　・4.5以上(3ポイント)</t>
    <phoneticPr fontId="21"/>
  </si>
  <si>
    <t>式修正</t>
    <rPh sb="0" eb="1">
      <t>シキ</t>
    </rPh>
    <rPh sb="1" eb="3">
      <t>シュウセイ</t>
    </rPh>
    <phoneticPr fontId="21"/>
  </si>
  <si>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</si>
  <si>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</si>
  <si>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</si>
  <si>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</si>
  <si>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</si>
  <si>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</si>
  <si>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</si>
  <si>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</si>
  <si>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</si>
  <si>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</si>
  <si>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</si>
  <si>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</si>
  <si>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</si>
  <si>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</si>
  <si>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</si>
  <si>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</si>
  <si>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</si>
  <si>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</si>
  <si>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</si>
  <si>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</si>
  <si>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</si>
  <si>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</si>
  <si>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</si>
  <si>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</si>
  <si>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</si>
  <si>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</si>
  <si>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</si>
  <si>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</si>
  <si>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</si>
  <si>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</si>
  <si>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</si>
  <si>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</si>
  <si>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</si>
  <si>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</si>
  <si>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1"/>
  </si>
  <si>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</si>
  <si>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</si>
  <si>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</si>
  <si>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</si>
  <si>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</si>
  <si>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</si>
  <si>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</si>
  <si>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</si>
  <si>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1"/>
  </si>
  <si>
    <t>事・学・物・飲・会・病・ホ・工</t>
    <rPh sb="14" eb="15">
      <t>コウ</t>
    </rPh>
    <phoneticPr fontId="21"/>
  </si>
  <si>
    <t>8）その他（記述）</t>
    <phoneticPr fontId="21"/>
  </si>
  <si>
    <t>敷地内温熱環境の向上</t>
    <phoneticPr fontId="21"/>
  </si>
  <si>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1"/>
  </si>
  <si>
    <t>注2：</t>
    <rPh sb="0" eb="1">
      <t>チュウ</t>
    </rPh>
    <phoneticPr fontId="21"/>
  </si>
  <si>
    <t>注3：</t>
    <rPh sb="0" eb="1">
      <t>チュウ</t>
    </rPh>
    <phoneticPr fontId="21"/>
  </si>
  <si>
    <t>欄に数値またはコメントを記入</t>
    <rPh sb="0" eb="1">
      <t>ラン</t>
    </rPh>
    <rPh sb="2" eb="4">
      <t>スウチ</t>
    </rPh>
    <rPh sb="12" eb="14">
      <t>キニュウ</t>
    </rPh>
    <phoneticPr fontId="21"/>
  </si>
  <si>
    <t>■評価ソフト：</t>
    <rPh sb="1" eb="3">
      <t>ヒョウカ</t>
    </rPh>
    <phoneticPr fontId="21"/>
  </si>
  <si>
    <t>スコアシート</t>
    <phoneticPr fontId="34" type="noConversion"/>
  </si>
  <si>
    <t>建物全体・共用部分</t>
    <rPh sb="0" eb="2">
      <t>タテモノ</t>
    </rPh>
    <rPh sb="2" eb="4">
      <t>ゼンタイ</t>
    </rPh>
    <rPh sb="5" eb="7">
      <t>キョウヨウ</t>
    </rPh>
    <rPh sb="7" eb="9">
      <t>ブブン</t>
    </rPh>
    <phoneticPr fontId="21"/>
  </si>
  <si>
    <t>住居・宿泊部分</t>
    <rPh sb="0" eb="2">
      <t>ジュウキョ</t>
    </rPh>
    <rPh sb="3" eb="5">
      <t>シュクハク</t>
    </rPh>
    <rPh sb="5" eb="7">
      <t>ブブン</t>
    </rPh>
    <phoneticPr fontId="21"/>
  </si>
  <si>
    <t>建物全体</t>
    <rPh sb="0" eb="2">
      <t>タテモノ</t>
    </rPh>
    <rPh sb="2" eb="4">
      <t>ゼンタイ</t>
    </rPh>
    <phoneticPr fontId="21"/>
  </si>
  <si>
    <t>住居宿泊</t>
    <rPh sb="0" eb="2">
      <t>ジュウキョ</t>
    </rPh>
    <rPh sb="2" eb="4">
      <t>シュクハク</t>
    </rPh>
    <phoneticPr fontId="21"/>
  </si>
  <si>
    <r>
      <t>Q3</t>
    </r>
    <r>
      <rPr>
        <b/>
        <sz val="14"/>
        <rFont val="ＭＳ Ｐゴシック"/>
        <family val="3"/>
        <charset val="128"/>
      </rPr>
      <t>　室外環境（敷地内）</t>
    </r>
    <phoneticPr fontId="21"/>
  </si>
  <si>
    <t>○</t>
    <phoneticPr fontId="21"/>
  </si>
  <si>
    <t>はい</t>
    <phoneticPr fontId="21"/>
  </si>
  <si>
    <t>いいえ</t>
    <phoneticPr fontId="21"/>
  </si>
  <si>
    <t>　レベル　1</t>
    <phoneticPr fontId="21"/>
  </si>
  <si>
    <t>■レベル　1</t>
    <phoneticPr fontId="21"/>
  </si>
  <si>
    <t>I 立地特性の把握と計画方針の設定</t>
    <phoneticPr fontId="21"/>
  </si>
  <si>
    <t>レベル</t>
    <phoneticPr fontId="21"/>
  </si>
  <si>
    <t>II 生物資源の保存と復元</t>
    <phoneticPr fontId="21"/>
  </si>
  <si>
    <t>建築物衛生法における特定建築物に該当しない建築物</t>
    <phoneticPr fontId="21"/>
  </si>
  <si>
    <t>―</t>
    <phoneticPr fontId="21"/>
  </si>
  <si>
    <t>①　清掃用資材を保管するスペースを計画している。</t>
    <phoneticPr fontId="21"/>
  </si>
  <si>
    <t>⑥　トイレ毎ないしはフロア毎に清掃用流しを設置している。</t>
    <phoneticPr fontId="21"/>
  </si>
  <si>
    <t>同左</t>
  </si>
  <si>
    <t>国内消費支出分</t>
    <rPh sb="0" eb="2">
      <t>コクナイ</t>
    </rPh>
    <rPh sb="2" eb="4">
      <t>ショウヒ</t>
    </rPh>
    <rPh sb="4" eb="6">
      <t>シシュツ</t>
    </rPh>
    <rPh sb="6" eb="7">
      <t>ブン</t>
    </rPh>
    <phoneticPr fontId="21"/>
  </si>
  <si>
    <t>躯体・基礎の寿命（年）</t>
    <rPh sb="0" eb="2">
      <t>クタイ</t>
    </rPh>
    <rPh sb="3" eb="5">
      <t>キソ</t>
    </rPh>
    <rPh sb="6" eb="8">
      <t>ジュミョウ</t>
    </rPh>
    <rPh sb="9" eb="10">
      <t>ネン</t>
    </rPh>
    <phoneticPr fontId="21"/>
  </si>
  <si>
    <t>Q2/2.2.1 躯体材料</t>
    <rPh sb="9" eb="11">
      <t>クタイ</t>
    </rPh>
    <rPh sb="11" eb="13">
      <t>ザイリョウ</t>
    </rPh>
    <phoneticPr fontId="21"/>
  </si>
  <si>
    <t>再利用なし</t>
    <rPh sb="0" eb="3">
      <t>サイリヨウ</t>
    </rPh>
    <phoneticPr fontId="21"/>
  </si>
  <si>
    <t>高炉ｾﾒﾝﾄ100%</t>
    <rPh sb="0" eb="2">
      <t>コウロ</t>
    </rPh>
    <phoneticPr fontId="21"/>
  </si>
  <si>
    <t>更新周期(年）</t>
    <rPh sb="0" eb="2">
      <t>コウシン</t>
    </rPh>
    <rPh sb="2" eb="4">
      <t>シュウキ</t>
    </rPh>
    <rPh sb="5" eb="6">
      <t>ネン</t>
    </rPh>
    <phoneticPr fontId="21"/>
  </si>
  <si>
    <t>外装</t>
    <rPh sb="0" eb="2">
      <t>ガイソウ</t>
    </rPh>
    <phoneticPr fontId="21"/>
  </si>
  <si>
    <t>年</t>
    <rPh sb="0" eb="1">
      <t>ネン</t>
    </rPh>
    <phoneticPr fontId="21"/>
  </si>
  <si>
    <t>屋根</t>
    <rPh sb="0" eb="2">
      <t>ヤネ</t>
    </rPh>
    <phoneticPr fontId="21"/>
  </si>
  <si>
    <t>内装</t>
    <rPh sb="0" eb="2">
      <t>ナイソウ</t>
    </rPh>
    <phoneticPr fontId="21"/>
  </si>
  <si>
    <t>設備</t>
    <rPh sb="0" eb="2">
      <t>セツビ</t>
    </rPh>
    <phoneticPr fontId="21"/>
  </si>
  <si>
    <t>平均修繕率</t>
    <rPh sb="0" eb="2">
      <t>ヘイキン</t>
    </rPh>
    <rPh sb="2" eb="4">
      <t>シュウゼン</t>
    </rPh>
    <rPh sb="4" eb="5">
      <t>リツ</t>
    </rPh>
    <phoneticPr fontId="21"/>
  </si>
  <si>
    <t>/年</t>
    <rPh sb="1" eb="2">
      <t>ネン</t>
    </rPh>
    <phoneticPr fontId="21"/>
  </si>
  <si>
    <t>参照値（参照建物）</t>
    <rPh sb="0" eb="2">
      <t>サンショウ</t>
    </rPh>
    <rPh sb="2" eb="3">
      <t>チ</t>
    </rPh>
    <rPh sb="4" eb="6">
      <t>サンショウ</t>
    </rPh>
    <rPh sb="6" eb="8">
      <t>タテモノ</t>
    </rPh>
    <phoneticPr fontId="21"/>
  </si>
  <si>
    <t>建物
概要</t>
    <rPh sb="0" eb="2">
      <t>タテモノ</t>
    </rPh>
    <rPh sb="3" eb="5">
      <t>ガイヨウ</t>
    </rPh>
    <phoneticPr fontId="21"/>
  </si>
  <si>
    <t>建物規模</t>
    <rPh sb="0" eb="2">
      <t>タテモノ</t>
    </rPh>
    <rPh sb="2" eb="4">
      <t>キボ</t>
    </rPh>
    <phoneticPr fontId="21"/>
  </si>
  <si>
    <t>構造種別</t>
    <rPh sb="0" eb="2">
      <t>コウゾウ</t>
    </rPh>
    <rPh sb="2" eb="4">
      <t>シュベツ</t>
    </rPh>
    <phoneticPr fontId="21"/>
  </si>
  <si>
    <t>ライフサイクル設定</t>
    <rPh sb="7" eb="9">
      <t>セッテイ</t>
    </rPh>
    <phoneticPr fontId="21"/>
  </si>
  <si>
    <t>想定耐用年数</t>
    <rPh sb="0" eb="2">
      <t>ソウテイ</t>
    </rPh>
    <rPh sb="2" eb="4">
      <t>タイヨウ</t>
    </rPh>
    <rPh sb="4" eb="6">
      <t>ネンスウ</t>
    </rPh>
    <phoneticPr fontId="21"/>
  </si>
  <si>
    <r>
      <t>kg-CO</t>
    </r>
    <r>
      <rPr>
        <vertAlign val="subscript"/>
        <sz val="10"/>
        <rFont val="ＭＳ Ｐゴシック"/>
        <family val="3"/>
        <charset val="128"/>
      </rPr>
      <t>2</t>
    </r>
    <r>
      <rPr>
        <sz val="10"/>
        <rFont val="ＭＳ Ｐゴシック"/>
        <family val="3"/>
        <charset val="128"/>
      </rPr>
      <t>/年㎡</t>
    </r>
    <rPh sb="7" eb="8">
      <t>ネン</t>
    </rPh>
    <phoneticPr fontId="21"/>
  </si>
  <si>
    <t>地球温暖化への配慮</t>
    <rPh sb="0" eb="2">
      <t>チキュウ</t>
    </rPh>
    <rPh sb="2" eb="5">
      <t>オンダンカ</t>
    </rPh>
    <rPh sb="7" eb="9">
      <t>ハイリョ</t>
    </rPh>
    <phoneticPr fontId="21"/>
  </si>
  <si>
    <t>自然ｴﾈﾙｷﾞｰ</t>
    <rPh sb="0" eb="2">
      <t>シゼン</t>
    </rPh>
    <phoneticPr fontId="21"/>
  </si>
  <si>
    <t>非再生性材料の削減</t>
    <rPh sb="0" eb="1">
      <t>ヒ</t>
    </rPh>
    <rPh sb="1" eb="3">
      <t>サイセイ</t>
    </rPh>
    <rPh sb="3" eb="4">
      <t>セイ</t>
    </rPh>
    <rPh sb="4" eb="6">
      <t>ザイリョウ</t>
    </rPh>
    <rPh sb="7" eb="9">
      <t>サクゲン</t>
    </rPh>
    <phoneticPr fontId="21"/>
  </si>
  <si>
    <t>地域環境への配慮</t>
    <rPh sb="0" eb="2">
      <t>チイキ</t>
    </rPh>
    <rPh sb="2" eb="4">
      <t>カンキョウ</t>
    </rPh>
    <rPh sb="6" eb="8">
      <t>ハイリョ</t>
    </rPh>
    <phoneticPr fontId="21"/>
  </si>
  <si>
    <t>設備の効率的利用</t>
    <rPh sb="0" eb="2">
      <t>セツビ</t>
    </rPh>
    <rPh sb="3" eb="5">
      <t>コウリツ</t>
    </rPh>
    <rPh sb="5" eb="6">
      <t>テキ</t>
    </rPh>
    <rPh sb="6" eb="8">
      <t>リヨウ</t>
    </rPh>
    <phoneticPr fontId="21"/>
  </si>
  <si>
    <t>汚染物質回避</t>
    <rPh sb="0" eb="2">
      <t>オセン</t>
    </rPh>
    <rPh sb="2" eb="4">
      <t>ブッシツ</t>
    </rPh>
    <rPh sb="4" eb="6">
      <t>カイヒ</t>
    </rPh>
    <phoneticPr fontId="21"/>
  </si>
  <si>
    <t>周辺環境への配慮</t>
    <rPh sb="0" eb="2">
      <t>シュウヘン</t>
    </rPh>
    <rPh sb="2" eb="4">
      <t>カンキョウ</t>
    </rPh>
    <rPh sb="6" eb="8">
      <t>ハイリョ</t>
    </rPh>
    <phoneticPr fontId="21"/>
  </si>
  <si>
    <t>運用ﾏﾈｼﾞﾒﾝﾄ</t>
    <rPh sb="0" eb="2">
      <t>ウンヨウ</t>
    </rPh>
    <phoneticPr fontId="21"/>
  </si>
  <si>
    <r>
      <t>3</t>
    </r>
    <r>
      <rPr>
        <b/>
        <sz val="12"/>
        <color indexed="9"/>
        <rFont val="ＭＳ Ｐゴシック"/>
        <family val="3"/>
        <charset val="128"/>
      </rPr>
      <t>　設計上の配慮事項</t>
    </r>
    <rPh sb="2" eb="4">
      <t>セッケイ</t>
    </rPh>
    <rPh sb="4" eb="5">
      <t>ジョウ</t>
    </rPh>
    <rPh sb="6" eb="8">
      <t>ハイリョ</t>
    </rPh>
    <rPh sb="8" eb="10">
      <t>ジコウ</t>
    </rPh>
    <phoneticPr fontId="21"/>
  </si>
  <si>
    <t>総合</t>
    <rPh sb="0" eb="2">
      <t>ｿｳｺﾞｳ</t>
    </rPh>
    <phoneticPr fontId="34" type="noConversion"/>
  </si>
  <si>
    <t>その他</t>
    <rPh sb="2" eb="3">
      <t>ﾀ</t>
    </rPh>
    <phoneticPr fontId="34"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</si>
  <si>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4" type="noConversion"/>
  </si>
  <si>
    <t>注3</t>
    <rPh sb="0" eb="1">
      <t>チュウ</t>
    </rPh>
    <phoneticPr fontId="21"/>
  </si>
  <si>
    <t>心理性・快適性</t>
    <rPh sb="0" eb="1">
      <t>ｺｺﾛ</t>
    </rPh>
    <rPh sb="1" eb="3">
      <t>ﾘｾｲ</t>
    </rPh>
    <rPh sb="4" eb="7">
      <t>ｶｲﾃｷｾｲ</t>
    </rPh>
    <phoneticPr fontId="34" type="noConversion"/>
  </si>
  <si>
    <t>■レベル　1</t>
    <phoneticPr fontId="21"/>
  </si>
  <si>
    <t>レベル</t>
    <phoneticPr fontId="21"/>
  </si>
  <si>
    <t>建物全体・共用部分</t>
    <phoneticPr fontId="21"/>
  </si>
  <si>
    <t>ホ・住</t>
    <phoneticPr fontId="21"/>
  </si>
  <si>
    <t>病・ホ</t>
    <rPh sb="0" eb="1">
      <t>ビョウ</t>
    </rPh>
    <phoneticPr fontId="21"/>
  </si>
  <si>
    <t>会話等の話の内容がわかる。</t>
    <rPh sb="0" eb="2">
      <t>カイワ</t>
    </rPh>
    <rPh sb="2" eb="3">
      <t>トウ</t>
    </rPh>
    <rPh sb="4" eb="5">
      <t>ハナシ</t>
    </rPh>
    <rPh sb="6" eb="8">
      <t>ナイヨウ</t>
    </rPh>
    <phoneticPr fontId="21"/>
  </si>
  <si>
    <t>　　　　　　　　　　　　　　　　　</t>
  </si>
  <si>
    <t>人の話し声がほとんど聞こえない。</t>
  </si>
  <si>
    <t>隣戸の気配を感じない。</t>
  </si>
  <si>
    <t>Dr-30未満</t>
  </si>
  <si>
    <t>Dr-35未満</t>
  </si>
  <si>
    <t xml:space="preserve">Dr-30 </t>
  </si>
  <si>
    <t>Dr-35</t>
  </si>
  <si>
    <t>Dr-40</t>
  </si>
  <si>
    <t>事・学・物・飲・会・病・ホ・工・住</t>
    <rPh sb="14" eb="15">
      <t>コウ</t>
    </rPh>
    <rPh sb="16" eb="17">
      <t>ジュウ</t>
    </rPh>
    <phoneticPr fontId="21"/>
  </si>
  <si>
    <t>病・ホ</t>
    <rPh sb="0" eb="1">
      <t>ヤマイ</t>
    </rPh>
    <phoneticPr fontId="21"/>
  </si>
  <si>
    <t>←　直接入力</t>
    <rPh sb="2" eb="4">
      <t>チョクセツ</t>
    </rPh>
    <rPh sb="4" eb="6">
      <t>ニュウリョク</t>
    </rPh>
    <phoneticPr fontId="21"/>
  </si>
  <si>
    <t>延床面積</t>
    <rPh sb="0" eb="4">
      <t>ノベユカメンセキ</t>
    </rPh>
    <phoneticPr fontId="21"/>
  </si>
  <si>
    <t>　</t>
  </si>
  <si>
    <t>○</t>
  </si>
  <si>
    <t>教室の天井高2.7m以上。</t>
    <rPh sb="0" eb="2">
      <t>キョウシツ</t>
    </rPh>
    <rPh sb="3" eb="5">
      <t>テンジョウ</t>
    </rPh>
    <rPh sb="5" eb="6">
      <t>ダカ</t>
    </rPh>
    <rPh sb="10" eb="12">
      <t>イジョウ</t>
    </rPh>
    <phoneticPr fontId="21"/>
  </si>
  <si>
    <t>教室の天井高3.0m以上。</t>
  </si>
  <si>
    <t>教室の天井高3.1m以上。</t>
  </si>
  <si>
    <t>教室の天井高3.2m以上。</t>
  </si>
  <si>
    <t>物</t>
    <rPh sb="0" eb="1">
      <t>モノ</t>
    </rPh>
    <phoneticPr fontId="21"/>
  </si>
  <si>
    <r>
      <t xml:space="preserve">1.2.3 </t>
    </r>
    <r>
      <rPr>
        <b/>
        <sz val="10"/>
        <rFont val="ＭＳ Ｐゴシック"/>
        <family val="3"/>
        <charset val="128"/>
      </rPr>
      <t>内装計画</t>
    </r>
    <rPh sb="6" eb="8">
      <t>ナイソウ</t>
    </rPh>
    <rPh sb="8" eb="10">
      <t>ケイカク</t>
    </rPh>
    <phoneticPr fontId="21"/>
  </si>
  <si>
    <t>評価する取組み</t>
    <rPh sb="0" eb="2">
      <t>ヒョウカ</t>
    </rPh>
    <rPh sb="4" eb="6">
      <t>トリク</t>
    </rPh>
    <phoneticPr fontId="21"/>
  </si>
  <si>
    <t>その他の燃料
（　　　）</t>
    <rPh sb="2" eb="3">
      <t>タ</t>
    </rPh>
    <rPh sb="4" eb="6">
      <t>ネンリョウ</t>
    </rPh>
    <phoneticPr fontId="21"/>
  </si>
  <si>
    <t>上水使用</t>
    <rPh sb="0" eb="1">
      <t>ウエ</t>
    </rPh>
    <rPh sb="1" eb="2">
      <t>ミズ</t>
    </rPh>
    <rPh sb="2" eb="4">
      <t>シヨウ</t>
    </rPh>
    <phoneticPr fontId="21"/>
  </si>
  <si>
    <t>kg/㎡</t>
  </si>
  <si>
    <t>LR1の取り組みによる省エネルギー量を推定</t>
    <rPh sb="4" eb="5">
      <t>ト</t>
    </rPh>
    <rPh sb="6" eb="7">
      <t>ク</t>
    </rPh>
    <rPh sb="11" eb="12">
      <t>ショウ</t>
    </rPh>
    <rPh sb="17" eb="18">
      <t>リョウ</t>
    </rPh>
    <rPh sb="19" eb="21">
      <t>スイテイ</t>
    </rPh>
    <phoneticPr fontId="21"/>
  </si>
  <si>
    <t>電力</t>
    <rPh sb="0" eb="2">
      <t>デンリョク</t>
    </rPh>
    <phoneticPr fontId="21"/>
  </si>
  <si>
    <t>搬送熱量/ポンプ消費エネルギー（2次エネルギー基準）</t>
  </si>
  <si>
    <t>空調機搬送ATF</t>
  </si>
  <si>
    <t>搬送熱量/ファン消費エネルギー（2次エネルギー基準）</t>
  </si>
  <si>
    <t>全熱交換器効果</t>
  </si>
  <si>
    <t>Ⅵ その他</t>
    <phoneticPr fontId="21"/>
  </si>
  <si>
    <t>■　環境設計の配慮事項</t>
    <rPh sb="2" eb="4">
      <t>カンキョウ</t>
    </rPh>
    <rPh sb="4" eb="6">
      <t>セッケイ</t>
    </rPh>
    <rPh sb="7" eb="9">
      <t>ハイリョ</t>
    </rPh>
    <rPh sb="9" eb="11">
      <t>ジコウ</t>
    </rPh>
    <phoneticPr fontId="21"/>
  </si>
  <si>
    <t>■建物名称</t>
    <rPh sb="1" eb="3">
      <t>タテモノ</t>
    </rPh>
    <rPh sb="3" eb="5">
      <t>メイショウ</t>
    </rPh>
    <phoneticPr fontId="21"/>
  </si>
  <si>
    <t>計画上の配慮事項</t>
    <rPh sb="0" eb="2">
      <t>ケイカク</t>
    </rPh>
    <rPh sb="2" eb="3">
      <t>ジョウ</t>
    </rPh>
    <rPh sb="4" eb="6">
      <t>ハイリョ</t>
    </rPh>
    <rPh sb="6" eb="8">
      <t>ジコウ</t>
    </rPh>
    <phoneticPr fontId="21"/>
  </si>
  <si>
    <t>総合</t>
    <rPh sb="0" eb="2">
      <t>ソウゴウ</t>
    </rPh>
    <phoneticPr fontId="21"/>
  </si>
  <si>
    <t>Q1 
室内環境</t>
    <rPh sb="4" eb="6">
      <t>シツナイ</t>
    </rPh>
    <rPh sb="6" eb="8">
      <t>カンキョウ</t>
    </rPh>
    <phoneticPr fontId="21"/>
  </si>
  <si>
    <t>Q2 
サービス性能</t>
    <rPh sb="8" eb="10">
      <t>セイノウ</t>
    </rPh>
    <phoneticPr fontId="21"/>
  </si>
  <si>
    <t>Q3 
室外環境（敷地内）</t>
    <rPh sb="4" eb="6">
      <t>シツガイ</t>
    </rPh>
    <rPh sb="6" eb="8">
      <t>カンキョウ</t>
    </rPh>
    <rPh sb="9" eb="11">
      <t>シキチ</t>
    </rPh>
    <rPh sb="11" eb="12">
      <t>ナイ</t>
    </rPh>
    <phoneticPr fontId="21"/>
  </si>
  <si>
    <t>LR2 
資源・マテリアル</t>
    <rPh sb="5" eb="7">
      <t>シゲン</t>
    </rPh>
    <phoneticPr fontId="21"/>
  </si>
  <si>
    <t>その他</t>
    <rPh sb="2" eb="3">
      <t>ホカ</t>
    </rPh>
    <phoneticPr fontId="21"/>
  </si>
  <si>
    <t>照度均斉度</t>
    <phoneticPr fontId="21"/>
  </si>
  <si>
    <t>4.1.1</t>
    <phoneticPr fontId="21"/>
  </si>
  <si>
    <t>4.1.2</t>
    <phoneticPr fontId="21"/>
  </si>
  <si>
    <t xml:space="preserve"> アスベスト対策</t>
    <phoneticPr fontId="21"/>
  </si>
  <si>
    <t>4.1.3</t>
    <phoneticPr fontId="21"/>
  </si>
  <si>
    <t>4.1.4</t>
    <phoneticPr fontId="21"/>
  </si>
  <si>
    <t>4.2.1</t>
    <phoneticPr fontId="21"/>
  </si>
  <si>
    <t>4.2.2</t>
    <phoneticPr fontId="21"/>
  </si>
  <si>
    <t>4.2.3</t>
    <phoneticPr fontId="21"/>
  </si>
  <si>
    <t>4.2.4</t>
    <phoneticPr fontId="21"/>
  </si>
  <si>
    <t>給気計画</t>
    <phoneticPr fontId="21"/>
  </si>
  <si>
    <t>4.3.1</t>
    <phoneticPr fontId="21"/>
  </si>
  <si>
    <t>CO2の監視</t>
    <phoneticPr fontId="21"/>
  </si>
  <si>
    <t>4.3.2</t>
    <phoneticPr fontId="21"/>
  </si>
  <si>
    <t>喫煙の制御</t>
    <phoneticPr fontId="21"/>
  </si>
  <si>
    <t>Q2</t>
    <phoneticPr fontId="21"/>
  </si>
  <si>
    <t>サービス性能</t>
    <phoneticPr fontId="21"/>
  </si>
  <si>
    <t>1.1.1</t>
    <phoneticPr fontId="21"/>
  </si>
  <si>
    <t>1.1.2</t>
    <phoneticPr fontId="21"/>
  </si>
  <si>
    <t>高度情報通信設備対応</t>
    <phoneticPr fontId="21"/>
  </si>
  <si>
    <t>1.1.3</t>
    <phoneticPr fontId="21"/>
  </si>
  <si>
    <t>1.2.1</t>
    <phoneticPr fontId="21"/>
  </si>
  <si>
    <t>1.2.2</t>
    <phoneticPr fontId="21"/>
  </si>
  <si>
    <t>1.2.3</t>
    <phoneticPr fontId="21"/>
  </si>
  <si>
    <t xml:space="preserve"> Q2 1.3</t>
    <phoneticPr fontId="21"/>
  </si>
  <si>
    <t>0</t>
    <phoneticPr fontId="21"/>
  </si>
  <si>
    <t>2.1.1</t>
    <phoneticPr fontId="21"/>
  </si>
  <si>
    <t>2.1.2</t>
    <phoneticPr fontId="21"/>
  </si>
  <si>
    <t>2.1.2</t>
    <phoneticPr fontId="21"/>
  </si>
  <si>
    <t>2.2.1</t>
    <phoneticPr fontId="21"/>
  </si>
  <si>
    <t>2.2.1</t>
    <phoneticPr fontId="21"/>
  </si>
  <si>
    <t>2.2.2</t>
    <phoneticPr fontId="21"/>
  </si>
  <si>
    <t>2.2.3</t>
    <phoneticPr fontId="21"/>
  </si>
  <si>
    <t>2.2.4</t>
    <phoneticPr fontId="21"/>
  </si>
  <si>
    <t>2.2.4</t>
    <phoneticPr fontId="21"/>
  </si>
  <si>
    <t>2.2.5</t>
    <phoneticPr fontId="21"/>
  </si>
  <si>
    <t>2.2.5</t>
    <phoneticPr fontId="21"/>
  </si>
  <si>
    <t>2.2.6</t>
    <phoneticPr fontId="21"/>
  </si>
  <si>
    <t xml:space="preserve"> Q2 2</t>
    <phoneticPr fontId="21"/>
  </si>
  <si>
    <t>2.3.1</t>
    <phoneticPr fontId="21"/>
  </si>
  <si>
    <t xml:space="preserve"> Q2 2.3</t>
    <phoneticPr fontId="21"/>
  </si>
  <si>
    <t>2.3.1</t>
    <phoneticPr fontId="21"/>
  </si>
  <si>
    <t>2.3.2</t>
    <phoneticPr fontId="21"/>
  </si>
  <si>
    <t xml:space="preserve"> Q2 2.3</t>
    <phoneticPr fontId="21"/>
  </si>
  <si>
    <t>一次ｴﾈﾙｷﾞｰあたり　非住宅</t>
    <rPh sb="0" eb="2">
      <t>イチジ</t>
    </rPh>
    <rPh sb="12" eb="13">
      <t>ヒ</t>
    </rPh>
    <rPh sb="13" eb="15">
      <t>ジュウタク</t>
    </rPh>
    <phoneticPr fontId="21"/>
  </si>
  <si>
    <t>同上　　住宅（専有部）</t>
    <rPh sb="0" eb="2">
      <t>ドウジョウ</t>
    </rPh>
    <rPh sb="4" eb="6">
      <t>ジュウタク</t>
    </rPh>
    <rPh sb="7" eb="9">
      <t>センユウ</t>
    </rPh>
    <rPh sb="9" eb="10">
      <t>ブ</t>
    </rPh>
    <phoneticPr fontId="21"/>
  </si>
  <si>
    <t>木部の防腐剤</t>
    <rPh sb="0" eb="2">
      <t>モクブ</t>
    </rPh>
    <rPh sb="3" eb="6">
      <t>ボウフザイ</t>
    </rPh>
    <phoneticPr fontId="21"/>
  </si>
  <si>
    <r>
      <t xml:space="preserve">3.2.1 </t>
    </r>
    <r>
      <rPr>
        <b/>
        <sz val="10"/>
        <rFont val="ＭＳ Ｐゴシック"/>
        <family val="3"/>
        <charset val="128"/>
      </rPr>
      <t>消火剤</t>
    </r>
    <rPh sb="6" eb="8">
      <t>ショウカ</t>
    </rPh>
    <rPh sb="8" eb="9">
      <t>ザイ</t>
    </rPh>
    <phoneticPr fontId="21"/>
  </si>
  <si>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1"/>
  </si>
  <si>
    <t>ODP及びGWPが高いハロン消火剤を使用している（クリティカルユース含む）。</t>
    <rPh sb="3" eb="4">
      <t>オヨ</t>
    </rPh>
    <rPh sb="9" eb="10">
      <t>タカ</t>
    </rPh>
    <rPh sb="14" eb="17">
      <t>ショウカザイ</t>
    </rPh>
    <rPh sb="18" eb="20">
      <t>シヨウ</t>
    </rPh>
    <rPh sb="34" eb="35">
      <t>フク</t>
    </rPh>
    <phoneticPr fontId="21"/>
  </si>
  <si>
    <t>ODP＝0.2以上の発泡剤を用いた断熱材等を使用している。</t>
    <rPh sb="10" eb="12">
      <t>ハッポウ</t>
    </rPh>
    <rPh sb="12" eb="13">
      <t>ザイ</t>
    </rPh>
    <rPh sb="14" eb="15">
      <t>モチ</t>
    </rPh>
    <rPh sb="17" eb="20">
      <t>ダンネツザイ</t>
    </rPh>
    <rPh sb="20" eb="21">
      <t>トウ</t>
    </rPh>
    <rPh sb="22" eb="24">
      <t>シヨウ</t>
    </rPh>
    <phoneticPr fontId="21"/>
  </si>
  <si>
    <t>ハロゲン化物消火剤を使用している。</t>
    <rPh sb="4" eb="5">
      <t>カ</t>
    </rPh>
    <rPh sb="5" eb="6">
      <t>ブツ</t>
    </rPh>
    <rPh sb="6" eb="9">
      <t>ショウカザイ</t>
    </rPh>
    <rPh sb="10" eb="12">
      <t>シヨウ</t>
    </rPh>
    <phoneticPr fontId="21"/>
  </si>
  <si>
    <t>ODP＝0.2未満の発泡剤を用いた断熱材等を使用している。</t>
    <rPh sb="10" eb="12">
      <t>ハッポウ</t>
    </rPh>
    <rPh sb="12" eb="13">
      <t>ザイ</t>
    </rPh>
    <rPh sb="14" eb="15">
      <t>モチ</t>
    </rPh>
    <rPh sb="17" eb="21">
      <t>ダンネツザイナド</t>
    </rPh>
    <rPh sb="22" eb="24">
      <t>シヨウ</t>
    </rPh>
    <phoneticPr fontId="21"/>
  </si>
  <si>
    <t>ODP＝0.01未満の発泡剤を用いた断熱材等を使用している。</t>
    <rPh sb="11" eb="13">
      <t>ハッポウ</t>
    </rPh>
    <rPh sb="13" eb="14">
      <t>ザイ</t>
    </rPh>
    <rPh sb="15" eb="16">
      <t>モチ</t>
    </rPh>
    <rPh sb="18" eb="22">
      <t>ダンネツザイナド</t>
    </rPh>
    <rPh sb="23" eb="25">
      <t>シヨウ</t>
    </rPh>
    <phoneticPr fontId="21"/>
  </si>
  <si>
    <t>錆止め</t>
    <rPh sb="0" eb="1">
      <t>サビ</t>
    </rPh>
    <rPh sb="1" eb="2">
      <t>ド</t>
    </rPh>
    <phoneticPr fontId="21"/>
  </si>
  <si>
    <t>躯体</t>
    <rPh sb="0" eb="1">
      <t>ムクロ</t>
    </rPh>
    <rPh sb="1" eb="2">
      <t>タイ</t>
    </rPh>
    <phoneticPr fontId="21"/>
  </si>
  <si>
    <t>躯体以外</t>
    <rPh sb="2" eb="4">
      <t>イガイ</t>
    </rPh>
    <phoneticPr fontId="21"/>
  </si>
  <si>
    <t>塗り床</t>
    <rPh sb="0" eb="1">
      <t>ヌ</t>
    </rPh>
    <rPh sb="2" eb="3">
      <t>ユカ</t>
    </rPh>
    <phoneticPr fontId="21"/>
  </si>
  <si>
    <t>備考　　　　注1：</t>
    <rPh sb="6" eb="7">
      <t>チュウ</t>
    </rPh>
    <phoneticPr fontId="21"/>
  </si>
  <si>
    <t>建材種別</t>
    <rPh sb="0" eb="2">
      <t>ケンザイ</t>
    </rPh>
    <rPh sb="2" eb="4">
      <t>シュベツ</t>
    </rPh>
    <phoneticPr fontId="21"/>
  </si>
  <si>
    <t>接着剤</t>
    <rPh sb="0" eb="3">
      <t>セッチャクザイ</t>
    </rPh>
    <phoneticPr fontId="21"/>
  </si>
  <si>
    <t>ビニル床タイル・シート用接着剤</t>
    <rPh sb="3" eb="4">
      <t>ユカ</t>
    </rPh>
    <rPh sb="11" eb="12">
      <t>ヨウ</t>
    </rPh>
    <rPh sb="12" eb="15">
      <t>セッチャクザイ</t>
    </rPh>
    <phoneticPr fontId="21"/>
  </si>
  <si>
    <t>タイル用接着剤</t>
    <rPh sb="3" eb="4">
      <t>ヨウ</t>
    </rPh>
    <rPh sb="4" eb="7">
      <t>セッチャクザイ</t>
    </rPh>
    <phoneticPr fontId="21"/>
  </si>
  <si>
    <t>壁紙用接着剤</t>
    <rPh sb="0" eb="2">
      <t>カベガミ</t>
    </rPh>
    <rPh sb="2" eb="3">
      <t>ヨウ</t>
    </rPh>
    <rPh sb="3" eb="6">
      <t>セッチャクザイ</t>
    </rPh>
    <phoneticPr fontId="21"/>
  </si>
  <si>
    <t>フローリングボード用接着剤</t>
    <rPh sb="9" eb="10">
      <t>ヨウ</t>
    </rPh>
    <rPh sb="10" eb="13">
      <t>セッチャクザイ</t>
    </rPh>
    <phoneticPr fontId="21"/>
  </si>
  <si>
    <t>シーリング材</t>
    <rPh sb="5" eb="6">
      <t>ザイ</t>
    </rPh>
    <phoneticPr fontId="21"/>
  </si>
  <si>
    <t>サッシ用シーリング</t>
    <rPh sb="3" eb="4">
      <t>ヨウ</t>
    </rPh>
    <phoneticPr fontId="21"/>
  </si>
  <si>
    <t>ガラス用シーリング</t>
    <rPh sb="3" eb="4">
      <t>ヨウ</t>
    </rPh>
    <phoneticPr fontId="21"/>
  </si>
  <si>
    <t>タイル目地シーリング</t>
    <rPh sb="3" eb="5">
      <t>メジ</t>
    </rPh>
    <phoneticPr fontId="21"/>
  </si>
  <si>
    <t>打ち継ぎ目地</t>
    <rPh sb="0" eb="1">
      <t>ウ</t>
    </rPh>
    <rPh sb="2" eb="3">
      <t>ツ</t>
    </rPh>
    <rPh sb="4" eb="5">
      <t>メ</t>
    </rPh>
    <rPh sb="5" eb="6">
      <t>ジ</t>
    </rPh>
    <phoneticPr fontId="21"/>
  </si>
  <si>
    <t>防水工事材料</t>
    <rPh sb="0" eb="2">
      <t>ボウスイ</t>
    </rPh>
    <rPh sb="2" eb="4">
      <t>コウジ</t>
    </rPh>
    <rPh sb="4" eb="6">
      <t>ザイリョウ</t>
    </rPh>
    <phoneticPr fontId="21"/>
  </si>
  <si>
    <t>防水工事のプライマー</t>
    <rPh sb="0" eb="2">
      <t>ボウスイ</t>
    </rPh>
    <rPh sb="2" eb="4">
      <t>コウジ</t>
    </rPh>
    <phoneticPr fontId="21"/>
  </si>
  <si>
    <t>a（傾き）</t>
    <rPh sb="2" eb="3">
      <t>カタム</t>
    </rPh>
    <phoneticPr fontId="21"/>
  </si>
  <si>
    <t>ｂ（切片）</t>
    <rPh sb="2" eb="4">
      <t>セッペン</t>
    </rPh>
    <phoneticPr fontId="21"/>
  </si>
  <si>
    <t>等級3</t>
    <rPh sb="0" eb="2">
      <t>トウキュウ</t>
    </rPh>
    <phoneticPr fontId="21"/>
  </si>
  <si>
    <t>VI その他</t>
    <phoneticPr fontId="21"/>
  </si>
  <si>
    <t>合計＝</t>
    <phoneticPr fontId="21"/>
  </si>
  <si>
    <t>1.2.1</t>
    <phoneticPr fontId="21"/>
  </si>
  <si>
    <t>雨水利用システム導入の有無</t>
    <phoneticPr fontId="21"/>
  </si>
  <si>
    <t>1.2.2</t>
    <phoneticPr fontId="21"/>
  </si>
  <si>
    <t>2.1</t>
    <phoneticPr fontId="21"/>
  </si>
  <si>
    <t>2.1</t>
    <phoneticPr fontId="21"/>
  </si>
  <si>
    <t>2.2</t>
    <phoneticPr fontId="21"/>
  </si>
  <si>
    <t>2.2</t>
    <phoneticPr fontId="21"/>
  </si>
  <si>
    <t>2.3</t>
    <phoneticPr fontId="21"/>
  </si>
  <si>
    <t>2.3</t>
    <phoneticPr fontId="21"/>
  </si>
  <si>
    <t>2.4</t>
    <phoneticPr fontId="21"/>
  </si>
  <si>
    <t>2.4</t>
    <phoneticPr fontId="21"/>
  </si>
  <si>
    <t>2.5</t>
    <phoneticPr fontId="21"/>
  </si>
  <si>
    <t>持続可能な森林から産出された木材</t>
    <phoneticPr fontId="21"/>
  </si>
  <si>
    <t>2.6</t>
    <phoneticPr fontId="21"/>
  </si>
  <si>
    <t>事・学・物・飲・会・病・ホ・工</t>
    <rPh sb="2" eb="3">
      <t>ガク</t>
    </rPh>
    <rPh sb="4" eb="5">
      <t>ブツ</t>
    </rPh>
    <rPh sb="6" eb="7">
      <t>イン</t>
    </rPh>
    <rPh sb="8" eb="9">
      <t>カイ</t>
    </rPh>
    <rPh sb="14" eb="15">
      <t>コウ</t>
    </rPh>
    <phoneticPr fontId="21"/>
  </si>
  <si>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</si>
  <si>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</si>
  <si>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1"/>
  </si>
  <si>
    <t>a.　建設に係るCO2排出量</t>
    <rPh sb="3" eb="5">
      <t>ケンセツ</t>
    </rPh>
    <rPh sb="6" eb="7">
      <t>カカ</t>
    </rPh>
    <rPh sb="11" eb="13">
      <t>ハイシュツ</t>
    </rPh>
    <rPh sb="13" eb="14">
      <t>リョウ</t>
    </rPh>
    <phoneticPr fontId="21"/>
  </si>
  <si>
    <t>kg-CO2/年m2</t>
    <rPh sb="7" eb="8">
      <t>ネン</t>
    </rPh>
    <phoneticPr fontId="21"/>
  </si>
  <si>
    <t>LR2/2.2 削減分</t>
    <rPh sb="8" eb="10">
      <t>サクゲン</t>
    </rPh>
    <rPh sb="10" eb="11">
      <t>ブン</t>
    </rPh>
    <phoneticPr fontId="21"/>
  </si>
  <si>
    <t>LR2/2.3 削減分</t>
    <rPh sb="8" eb="10">
      <t>サクゲン</t>
    </rPh>
    <rPh sb="10" eb="11">
      <t>ブン</t>
    </rPh>
    <phoneticPr fontId="21"/>
  </si>
  <si>
    <t>b.　修繕・更新・解体に係るCO2排出量</t>
    <rPh sb="3" eb="5">
      <t>シュウゼン</t>
    </rPh>
    <rPh sb="6" eb="8">
      <t>コウシン</t>
    </rPh>
    <rPh sb="9" eb="11">
      <t>カイタイ</t>
    </rPh>
    <rPh sb="12" eb="13">
      <t>カカ</t>
    </rPh>
    <rPh sb="17" eb="19">
      <t>ハイシュツ</t>
    </rPh>
    <rPh sb="19" eb="20">
      <t>リョウ</t>
    </rPh>
    <phoneticPr fontId="21"/>
  </si>
  <si>
    <t>削減後</t>
    <rPh sb="0" eb="2">
      <t>サクゲン</t>
    </rPh>
    <rPh sb="2" eb="3">
      <t>ゴ</t>
    </rPh>
    <phoneticPr fontId="21"/>
  </si>
  <si>
    <t>c.　運用に係るCO2排出量</t>
    <rPh sb="3" eb="5">
      <t>ウンヨウ</t>
    </rPh>
    <rPh sb="6" eb="7">
      <t>カカ</t>
    </rPh>
    <rPh sb="11" eb="13">
      <t>ハイシュツ</t>
    </rPh>
    <rPh sb="13" eb="14">
      <t>リョウ</t>
    </rPh>
    <phoneticPr fontId="21"/>
  </si>
  <si>
    <t>電力　（実排出係数）</t>
    <rPh sb="0" eb="2">
      <t>デンリョク</t>
    </rPh>
    <rPh sb="4" eb="5">
      <t>ジツ</t>
    </rPh>
    <rPh sb="5" eb="7">
      <t>ハイシュツ</t>
    </rPh>
    <rPh sb="7" eb="9">
      <t>ケイスウ</t>
    </rPh>
    <phoneticPr fontId="28"/>
  </si>
  <si>
    <t>売場の天井高3.0m以上。</t>
    <phoneticPr fontId="21"/>
  </si>
  <si>
    <t>住居・宿泊部の天井高2.3m以上。</t>
    <phoneticPr fontId="21"/>
  </si>
  <si>
    <t>売場の天井高3.3m以上。</t>
    <phoneticPr fontId="21"/>
  </si>
  <si>
    <t>住居・宿泊部の天井高2.5m以上。</t>
    <phoneticPr fontId="21"/>
  </si>
  <si>
    <t>2300N/㎡以上～2900N/㎡未満</t>
    <phoneticPr fontId="21"/>
  </si>
  <si>
    <t>1800N/㎡以上～2100N/㎡未満</t>
    <phoneticPr fontId="21"/>
  </si>
  <si>
    <t>3500N/㎡以上～4500N/㎡未満</t>
    <phoneticPr fontId="21"/>
  </si>
  <si>
    <t>4200N/㎡以上～5200N/㎡未満</t>
    <phoneticPr fontId="21"/>
  </si>
  <si>
    <t>ウォーターハンマー</t>
  </si>
  <si>
    <t>エアコン室内機等からの騒音</t>
  </si>
  <si>
    <t>低騒音タイプの機器の採用など</t>
  </si>
  <si>
    <t>エアコン室外機からの騒音</t>
  </si>
  <si>
    <t>換気扇からの騒音</t>
    <rPh sb="6" eb="8">
      <t>ソウオン</t>
    </rPh>
    <phoneticPr fontId="21"/>
  </si>
  <si>
    <t>遮音</t>
    <rPh sb="0" eb="2">
      <t>シャオン</t>
    </rPh>
    <phoneticPr fontId="21"/>
  </si>
  <si>
    <r>
      <t xml:space="preserve">1.2.1 </t>
    </r>
    <r>
      <rPr>
        <b/>
        <sz val="10"/>
        <rFont val="ＭＳ Ｐゴシック"/>
        <family val="3"/>
        <charset val="128"/>
      </rPr>
      <t>開口部遮音性能</t>
    </r>
    <rPh sb="6" eb="9">
      <t>カイコウブ</t>
    </rPh>
    <rPh sb="9" eb="11">
      <t>シャオン</t>
    </rPh>
    <phoneticPr fontId="21"/>
  </si>
  <si>
    <t>建物全体・共用部分</t>
    <phoneticPr fontId="21"/>
  </si>
  <si>
    <t>事・学・物・飲・会・病・ホ・工・住</t>
    <rPh sb="4" eb="5">
      <t>ブツ</t>
    </rPh>
    <rPh sb="8" eb="9">
      <t>カイ</t>
    </rPh>
    <phoneticPr fontId="21"/>
  </si>
  <si>
    <t>騒音が気になる。</t>
    <rPh sb="0" eb="2">
      <t>ソウオン</t>
    </rPh>
    <rPh sb="3" eb="4">
      <t>キ</t>
    </rPh>
    <phoneticPr fontId="21"/>
  </si>
  <si>
    <t>騒音がほとんど気にならない。</t>
    <rPh sb="0" eb="2">
      <t>ソウオン</t>
    </rPh>
    <rPh sb="7" eb="8">
      <t>キ</t>
    </rPh>
    <phoneticPr fontId="21"/>
  </si>
  <si>
    <t>騒音が気にならない</t>
    <rPh sb="0" eb="2">
      <t>ソウオン</t>
    </rPh>
    <rPh sb="3" eb="4">
      <t>キ</t>
    </rPh>
    <phoneticPr fontId="21"/>
  </si>
  <si>
    <t>騒音が気にならない。</t>
    <rPh sb="0" eb="2">
      <t>ソウオン</t>
    </rPh>
    <rPh sb="3" eb="4">
      <t>キ</t>
    </rPh>
    <phoneticPr fontId="21"/>
  </si>
  <si>
    <t xml:space="preserve">  レベル 2</t>
  </si>
  <si>
    <t xml:space="preserve">  レベル 3</t>
  </si>
  <si>
    <t xml:space="preserve">  レベル 4</t>
  </si>
  <si>
    <t xml:space="preserve">  レベル 5</t>
  </si>
  <si>
    <t>1.0％≦ [昼光率] ＜1.25％</t>
    <phoneticPr fontId="21"/>
  </si>
  <si>
    <t>1.25％≦ [昼光率]</t>
    <phoneticPr fontId="21"/>
  </si>
  <si>
    <t xml:space="preserve">2.0％≦ [昼光率] </t>
    <phoneticPr fontId="21"/>
  </si>
  <si>
    <t>住居・宿泊部分</t>
    <phoneticPr fontId="21"/>
  </si>
  <si>
    <t>-</t>
    <phoneticPr fontId="21"/>
  </si>
  <si>
    <t>建物全体・共用部分</t>
    <phoneticPr fontId="21"/>
  </si>
  <si>
    <t>-</t>
    <phoneticPr fontId="21"/>
  </si>
  <si>
    <t>昼光利用設備がない。</t>
    <phoneticPr fontId="21"/>
  </si>
  <si>
    <t>効率評価の事例</t>
    <rPh sb="0" eb="2">
      <t>コウリツ</t>
    </rPh>
    <rPh sb="2" eb="4">
      <t>ヒョウカ</t>
    </rPh>
    <rPh sb="5" eb="7">
      <t>ジレイ</t>
    </rPh>
    <phoneticPr fontId="21"/>
  </si>
  <si>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</si>
  <si>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</si>
  <si>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</si>
  <si>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</si>
  <si>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</si>
  <si>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</si>
  <si>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</si>
  <si>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</si>
  <si>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</si>
  <si>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</si>
  <si>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</si>
  <si>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1"/>
  </si>
  <si>
    <t>等級2</t>
    <rPh sb="0" eb="2">
      <t>トウキュウ</t>
    </rPh>
    <phoneticPr fontId="21"/>
  </si>
  <si>
    <t>等級4</t>
    <rPh sb="0" eb="2">
      <t>トウキュウ</t>
    </rPh>
    <phoneticPr fontId="21"/>
  </si>
  <si>
    <t>等級未入力</t>
    <rPh sb="0" eb="2">
      <t>トウキュウ</t>
    </rPh>
    <rPh sb="2" eb="5">
      <t>ミニュウリョク</t>
    </rPh>
    <phoneticPr fontId="21"/>
  </si>
  <si>
    <t>MJ/年㎡</t>
    <rPh sb="3" eb="4">
      <t>ネン</t>
    </rPh>
    <phoneticPr fontId="21"/>
  </si>
  <si>
    <r>
      <t xml:space="preserve">3.3.2 </t>
    </r>
    <r>
      <rPr>
        <b/>
        <sz val="10"/>
        <rFont val="ＭＳ Ｐゴシック"/>
        <family val="3"/>
        <charset val="128"/>
      </rPr>
      <t>照度均斉度</t>
    </r>
    <rPh sb="6" eb="8">
      <t>ショウド</t>
    </rPh>
    <rPh sb="8" eb="10">
      <t>キンセイ</t>
    </rPh>
    <rPh sb="10" eb="11">
      <t>ド</t>
    </rPh>
    <phoneticPr fontId="21"/>
  </si>
  <si>
    <t>事・学・病(診)・ホ・工・住</t>
    <rPh sb="2" eb="3">
      <t>ガク</t>
    </rPh>
    <rPh sb="6" eb="7">
      <t>ミ</t>
    </rPh>
    <phoneticPr fontId="21"/>
  </si>
  <si>
    <t>全般照明方式の場合で室内に許容できる程度の暗い部分がある。タスク・アンビエント照明方式の場合で作業面の明るさと周りの明るさのバランスが不十分。</t>
    <rPh sb="41" eb="43">
      <t>ホウシキ</t>
    </rPh>
    <phoneticPr fontId="21"/>
  </si>
  <si>
    <t>全般照明方式の場合で室内に暗い部分がない。タスク・アンビエント照明方式の場合で作業面の明るさと周りの明るさのバランスが良い。</t>
    <rPh sb="33" eb="35">
      <t>ホウシキ</t>
    </rPh>
    <phoneticPr fontId="21"/>
  </si>
  <si>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</si>
  <si>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</si>
  <si>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</si>
  <si>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</si>
  <si>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</si>
  <si>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</si>
  <si>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</si>
  <si>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1"/>
  </si>
  <si>
    <t>5年以上～10年未満</t>
  </si>
  <si>
    <t>10年以上～15年未満</t>
  </si>
  <si>
    <t>10年</t>
  </si>
  <si>
    <t>15年</t>
  </si>
  <si>
    <t>ほぼ全てに亜鉛鉄板を使用</t>
    <rPh sb="2" eb="3">
      <t>スベ</t>
    </rPh>
    <rPh sb="5" eb="7">
      <t>アエン</t>
    </rPh>
    <rPh sb="7" eb="9">
      <t>テッパン</t>
    </rPh>
    <rPh sb="10" eb="12">
      <t>シヨウ</t>
    </rPh>
    <phoneticPr fontId="21"/>
  </si>
  <si>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1"/>
  </si>
  <si>
    <r>
      <t>3.3.1</t>
    </r>
    <r>
      <rPr>
        <b/>
        <sz val="10"/>
        <rFont val="ＭＳ Ｐゴシック"/>
        <family val="3"/>
        <charset val="128"/>
      </rPr>
      <t>　屋外照明及び屋内照明のうち外に漏れる光への対策</t>
    </r>
    <phoneticPr fontId="21"/>
  </si>
  <si>
    <t>3.3.2</t>
    <phoneticPr fontId="21"/>
  </si>
  <si>
    <t>昼光の建物外壁による反射光（グレア）への対策</t>
    <phoneticPr fontId="34" type="noConversion"/>
  </si>
  <si>
    <t>d. LCCO2算定条件</t>
    <rPh sb="8" eb="10">
      <t>サンテイ</t>
    </rPh>
    <rPh sb="10" eb="12">
      <t>ジョウケン</t>
    </rPh>
    <phoneticPr fontId="21"/>
  </si>
  <si>
    <t>給水・給湯管理（飲用・炊事用・浴用等）は何も実施していない。</t>
    <phoneticPr fontId="21"/>
  </si>
  <si>
    <t>ON</t>
  </si>
  <si>
    <t>-</t>
    <phoneticPr fontId="21"/>
  </si>
  <si>
    <r>
      <t xml:space="preserve">2.1.2 </t>
    </r>
    <r>
      <rPr>
        <b/>
        <sz val="10"/>
        <rFont val="ＭＳ Ｐゴシック"/>
        <family val="3"/>
        <charset val="128"/>
      </rPr>
      <t>外皮性能</t>
    </r>
    <rPh sb="6" eb="8">
      <t>ガイヒ</t>
    </rPh>
    <rPh sb="8" eb="10">
      <t>セイノウ</t>
    </rPh>
    <phoneticPr fontId="21"/>
  </si>
  <si>
    <t>負荷変動・追従制御性</t>
    <phoneticPr fontId="21"/>
  </si>
  <si>
    <r>
      <t xml:space="preserve">2.1.3 </t>
    </r>
    <r>
      <rPr>
        <b/>
        <sz val="10"/>
        <rFont val="ＭＳ Ｐゴシック"/>
        <family val="3"/>
        <charset val="128"/>
      </rPr>
      <t>ゾーン別制御性</t>
    </r>
    <rPh sb="9" eb="10">
      <t>ベツ</t>
    </rPh>
    <rPh sb="10" eb="13">
      <t>セイギョセイ</t>
    </rPh>
    <phoneticPr fontId="21"/>
  </si>
  <si>
    <r>
      <t xml:space="preserve">3.2.1 </t>
    </r>
    <r>
      <rPr>
        <b/>
        <sz val="10"/>
        <rFont val="ＭＳ Ｐゴシック"/>
        <family val="3"/>
        <charset val="128"/>
      </rPr>
      <t>昼光制御</t>
    </r>
    <rPh sb="6" eb="7">
      <t>ヒル</t>
    </rPh>
    <rPh sb="7" eb="8">
      <t>ヒカリ</t>
    </rPh>
    <rPh sb="8" eb="10">
      <t>セイギョ</t>
    </rPh>
    <phoneticPr fontId="21"/>
  </si>
  <si>
    <r>
      <t>3.2.2</t>
    </r>
    <r>
      <rPr>
        <b/>
        <sz val="10"/>
        <rFont val="ＭＳ Ｐゴシック"/>
        <family val="3"/>
        <charset val="128"/>
      </rPr>
      <t>　映り込み対策</t>
    </r>
    <rPh sb="6" eb="7">
      <t>ウツ</t>
    </rPh>
    <rPh sb="8" eb="9">
      <t>コ</t>
    </rPh>
    <rPh sb="10" eb="12">
      <t>タイサク</t>
    </rPh>
    <phoneticPr fontId="21"/>
  </si>
  <si>
    <t>土壌改良材</t>
  </si>
  <si>
    <t>採点シートの
採点結果</t>
    <rPh sb="0" eb="2">
      <t>サイテン</t>
    </rPh>
    <rPh sb="7" eb="9">
      <t>サイテン</t>
    </rPh>
    <rPh sb="9" eb="11">
      <t>ケッカ</t>
    </rPh>
    <phoneticPr fontId="21"/>
  </si>
  <si>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1"/>
  </si>
  <si>
    <t>集合住宅以外の評価(3a.3b)</t>
    <rPh sb="0" eb="2">
      <t>シュウゴウ</t>
    </rPh>
    <rPh sb="2" eb="4">
      <t>ジュウタク</t>
    </rPh>
    <rPh sb="4" eb="6">
      <t>イガイ</t>
    </rPh>
    <rPh sb="7" eb="9">
      <t>ヒョウカ</t>
    </rPh>
    <phoneticPr fontId="21"/>
  </si>
  <si>
    <t>集合住宅の評価(3c)</t>
    <rPh sb="0" eb="2">
      <t>シュウゴウ</t>
    </rPh>
    <rPh sb="2" eb="4">
      <t>ジュウタク</t>
    </rPh>
    <rPh sb="5" eb="7">
      <t>ヒョウカ</t>
    </rPh>
    <phoneticPr fontId="21"/>
  </si>
  <si>
    <t>算定プログラムによる評価</t>
    <rPh sb="0" eb="2">
      <t>サンテイ</t>
    </rPh>
    <rPh sb="10" eb="12">
      <t>ヒョウカ</t>
    </rPh>
    <phoneticPr fontId="21"/>
  </si>
  <si>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</si>
  <si>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</si>
  <si>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</si>
  <si>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3"/>
  </si>
  <si>
    <t>ａ ：単位住戸全体を冷房する方式</t>
  </si>
  <si>
    <t>ｂ ：居室のみを冷房する方式（間歇運転）</t>
  </si>
  <si>
    <t>採点レベル</t>
    <rPh sb="0" eb="2">
      <t>サイテン</t>
    </rPh>
    <phoneticPr fontId="21"/>
  </si>
  <si>
    <t>「－」の場合</t>
    <phoneticPr fontId="21"/>
  </si>
  <si>
    <t>算定プログラムを使わない場合の評価</t>
    <rPh sb="0" eb="2">
      <t>サンテイ</t>
    </rPh>
    <rPh sb="8" eb="9">
      <t>ツカ</t>
    </rPh>
    <rPh sb="12" eb="14">
      <t>バアイ</t>
    </rPh>
    <rPh sb="15" eb="17">
      <t>ヒョウカ</t>
    </rPh>
    <phoneticPr fontId="21"/>
  </si>
  <si>
    <t>㎡</t>
    <phoneticPr fontId="21"/>
  </si>
  <si>
    <t>LR1/2. 自然ｴﾈﾙｷﾞｰ利用</t>
    <rPh sb="7" eb="9">
      <t>シゼン</t>
    </rPh>
    <rPh sb="15" eb="17">
      <t>リヨウ</t>
    </rPh>
    <phoneticPr fontId="21"/>
  </si>
  <si>
    <t>図を貼り付けるときは</t>
    <rPh sb="0" eb="1">
      <t>ズ</t>
    </rPh>
    <rPh sb="2" eb="3">
      <t>ハ</t>
    </rPh>
    <rPh sb="4" eb="5">
      <t>ツ</t>
    </rPh>
    <phoneticPr fontId="21"/>
  </si>
  <si>
    <t>シートの保護を解除してください</t>
    <phoneticPr fontId="21"/>
  </si>
  <si>
    <t>対象外</t>
    <rPh sb="0" eb="3">
      <t>タイショウガイ</t>
    </rPh>
    <phoneticPr fontId="21"/>
  </si>
  <si>
    <t>用途別スコア入力</t>
    <rPh sb="0" eb="2">
      <t>ﾖｳﾄ</t>
    </rPh>
    <rPh sb="2" eb="3">
      <t>ﾍﾞﾂ</t>
    </rPh>
    <rPh sb="6" eb="8">
      <t>ﾆｭｳﾘｮｸ</t>
    </rPh>
    <phoneticPr fontId="34" type="noConversion"/>
  </si>
  <si>
    <t>事務所</t>
    <rPh sb="0" eb="2">
      <t>ｼﾞﾑ</t>
    </rPh>
    <rPh sb="2" eb="3">
      <t>ｼｮ</t>
    </rPh>
    <phoneticPr fontId="167" type="noConversion"/>
  </si>
  <si>
    <t>学校</t>
    <rPh sb="0" eb="2">
      <t>ｶﾞｯｺｳ</t>
    </rPh>
    <phoneticPr fontId="167" type="noConversion"/>
  </si>
  <si>
    <t>物販店</t>
    <rPh sb="0" eb="1">
      <t>ﾌﾞﾂ</t>
    </rPh>
    <rPh sb="1" eb="2">
      <t>ﾊﾝ</t>
    </rPh>
    <rPh sb="2" eb="3">
      <t>ﾃﾝ</t>
    </rPh>
    <phoneticPr fontId="167" type="noConversion"/>
  </si>
  <si>
    <t>飲食店</t>
    <rPh sb="0" eb="2">
      <t>ｲﾝｼｮｸ</t>
    </rPh>
    <rPh sb="2" eb="3">
      <t>ﾐｾ</t>
    </rPh>
    <phoneticPr fontId="167" type="noConversion"/>
  </si>
  <si>
    <t>集会所</t>
    <rPh sb="0" eb="3">
      <t>ｼｭｳｶｲｼﾞｮ</t>
    </rPh>
    <phoneticPr fontId="167" type="noConversion"/>
  </si>
  <si>
    <t>工場</t>
    <rPh sb="0" eb="2">
      <t>ｺｳｼﾞｮｳ</t>
    </rPh>
    <phoneticPr fontId="167" type="noConversion"/>
  </si>
  <si>
    <t>病院</t>
    <rPh sb="0" eb="2">
      <t>ﾋﾞｮｳｲﾝ</t>
    </rPh>
    <phoneticPr fontId="167" type="noConversion"/>
  </si>
  <si>
    <t>集合住宅</t>
    <rPh sb="0" eb="2">
      <t>ｼｭｳｺﾞｳ</t>
    </rPh>
    <rPh sb="2" eb="4">
      <t>ｼﾞｭｳﾀｸ</t>
    </rPh>
    <phoneticPr fontId="167" type="noConversion"/>
  </si>
  <si>
    <t>面積加重</t>
    <rPh sb="0" eb="2">
      <t>メンセキ</t>
    </rPh>
    <rPh sb="2" eb="4">
      <t>カジュウ</t>
    </rPh>
    <phoneticPr fontId="21"/>
  </si>
  <si>
    <t>評価点</t>
    <rPh sb="0" eb="2">
      <t>ヒョウカ</t>
    </rPh>
    <rPh sb="2" eb="3">
      <t>テン</t>
    </rPh>
    <phoneticPr fontId="21"/>
  </si>
  <si>
    <t>学校
(小中高)</t>
    <rPh sb="0" eb="2">
      <t>ガッコウ</t>
    </rPh>
    <phoneticPr fontId="21"/>
  </si>
  <si>
    <t>設計仕様に基づく評価</t>
    <phoneticPr fontId="21"/>
  </si>
  <si>
    <t>（１）　設計仕様に基づく評価の補正</t>
    <phoneticPr fontId="21"/>
  </si>
  <si>
    <t>（２）　実測結果に基づく評価</t>
    <phoneticPr fontId="21"/>
  </si>
  <si>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1"/>
  </si>
  <si>
    <t>評価内容</t>
    <phoneticPr fontId="21"/>
  </si>
  <si>
    <t>1) 業務仕様</t>
    <phoneticPr fontId="21"/>
  </si>
  <si>
    <t>清掃管理および設備管理仕様書の基本方針において環境配慮を明示している。</t>
  </si>
  <si>
    <r>
      <t>2)</t>
    </r>
    <r>
      <rPr>
        <sz val="9"/>
        <rFont val="ＭＳ Ｐゴシック"/>
        <family val="3"/>
        <charset val="128"/>
      </rPr>
      <t xml:space="preserve"> 契約形態</t>
    </r>
    <phoneticPr fontId="21"/>
  </si>
  <si>
    <t>安定した品質を維持するために業務契約期間を2年以上としている。</t>
  </si>
  <si>
    <r>
      <t>3)</t>
    </r>
    <r>
      <rPr>
        <sz val="9"/>
        <rFont val="ＭＳ Ｐゴシック"/>
        <family val="3"/>
        <charset val="128"/>
      </rPr>
      <t xml:space="preserve"> 業務手順</t>
    </r>
    <phoneticPr fontId="21"/>
  </si>
  <si>
    <t>清掃管理と設備管理における業務標準手順書を用意している。</t>
  </si>
  <si>
    <t>4) インスペクション</t>
    <phoneticPr fontId="21"/>
  </si>
  <si>
    <t>清掃および設備の維持管理状態のインスペクション記録がある。</t>
  </si>
  <si>
    <r>
      <t>5)</t>
    </r>
    <r>
      <rPr>
        <sz val="9"/>
        <rFont val="ＭＳ Ｐゴシック"/>
        <family val="3"/>
        <charset val="128"/>
      </rPr>
      <t xml:space="preserve"> 計画</t>
    </r>
    <phoneticPr fontId="21"/>
  </si>
  <si>
    <t>外気に接するガラス･照明の清掃を含めた計画書がある。</t>
  </si>
  <si>
    <r>
      <t>6)</t>
    </r>
    <r>
      <rPr>
        <sz val="9"/>
        <rFont val="ＭＳ Ｐゴシック"/>
        <family val="3"/>
        <charset val="128"/>
      </rPr>
      <t xml:space="preserve"> 業務員への教育</t>
    </r>
    <phoneticPr fontId="21"/>
  </si>
  <si>
    <t>年1回以上の環境等をテーマにしたトレーニングの計画と記録がある。</t>
  </si>
  <si>
    <t>7) EMS</t>
    <phoneticPr fontId="21"/>
  </si>
  <si>
    <t>管理者が外部評価による環境マネジメントシステム(EMS)の認証を得ている。</t>
  </si>
  <si>
    <t>合計＝</t>
    <phoneticPr fontId="21"/>
  </si>
  <si>
    <t>Ⅱ 建築物衛生法における特定建築物に該当しない建築物の場合に評価する取組み</t>
    <phoneticPr fontId="21"/>
  </si>
  <si>
    <r>
      <t>1)</t>
    </r>
    <r>
      <rPr>
        <sz val="9"/>
        <rFont val="ＭＳ Ｐゴシック"/>
        <family val="3"/>
        <charset val="128"/>
      </rPr>
      <t xml:space="preserve"> 頻度</t>
    </r>
    <phoneticPr fontId="21"/>
  </si>
  <si>
    <t>施設清掃や設備点検･清掃の箇所別頻度の設定がなされている。</t>
  </si>
  <si>
    <r>
      <t>2)</t>
    </r>
    <r>
      <rPr>
        <sz val="9"/>
        <rFont val="ＭＳ Ｐゴシック"/>
        <family val="3"/>
        <charset val="128"/>
      </rPr>
      <t xml:space="preserve"> 役割</t>
    </r>
    <phoneticPr fontId="21"/>
  </si>
  <si>
    <t>施設清掃と設備点検･清掃における各責任者･委託先が決められている。</t>
  </si>
  <si>
    <r>
      <t>3)</t>
    </r>
    <r>
      <rPr>
        <sz val="9"/>
        <rFont val="ＭＳ Ｐゴシック"/>
        <family val="3"/>
        <charset val="128"/>
      </rPr>
      <t xml:space="preserve"> 手順</t>
    </r>
    <phoneticPr fontId="21"/>
  </si>
  <si>
    <t>施設清掃と設備点検･清掃における作業手順書やマニュアルを用意している。</t>
  </si>
  <si>
    <r>
      <t>4)</t>
    </r>
    <r>
      <rPr>
        <sz val="9"/>
        <rFont val="ＭＳ Ｐゴシック"/>
        <family val="3"/>
        <charset val="128"/>
      </rPr>
      <t xml:space="preserve"> 点検</t>
    </r>
    <phoneticPr fontId="21"/>
  </si>
  <si>
    <t>施設清掃と設備点検･清掃の点検記録がある。</t>
  </si>
  <si>
    <r>
      <t>5)</t>
    </r>
    <r>
      <rPr>
        <sz val="9"/>
        <rFont val="ＭＳ Ｐゴシック"/>
        <family val="3"/>
        <charset val="128"/>
      </rPr>
      <t xml:space="preserve"> 実施</t>
    </r>
    <phoneticPr fontId="21"/>
  </si>
  <si>
    <t>施設清掃や設備点検･清掃の実施記録がある。</t>
  </si>
  <si>
    <r>
      <t>6)</t>
    </r>
    <r>
      <rPr>
        <sz val="9"/>
        <rFont val="ＭＳ Ｐゴシック"/>
        <family val="3"/>
        <charset val="128"/>
      </rPr>
      <t xml:space="preserve"> 共有</t>
    </r>
    <phoneticPr fontId="21"/>
  </si>
  <si>
    <t>施設清掃と設備点検･清掃の点検結果を共有する機会を設けている。</t>
  </si>
  <si>
    <t>Ⅱ 建築物衛生法における特定建築物に該当しない建築物の場合に評価する取組み</t>
  </si>
  <si>
    <t>評価内容</t>
    <phoneticPr fontId="21"/>
  </si>
  <si>
    <t>ある程度の長さのエントランスマットを設置している。</t>
    <phoneticPr fontId="21"/>
  </si>
  <si>
    <t>① 清掃業務において効果的な方法を採用している。</t>
    <phoneticPr fontId="21"/>
  </si>
  <si>
    <t>-</t>
    <phoneticPr fontId="21"/>
  </si>
  <si>
    <t>② 清掃業務において環境影響の少ない方法を採用している。</t>
    <phoneticPr fontId="21"/>
  </si>
  <si>
    <t>② 希釈をする洗浄剤の希釈方法を明記している。</t>
    <phoneticPr fontId="21"/>
  </si>
  <si>
    <t>② 清掃資材専用の保管スペースがある。</t>
    <phoneticPr fontId="21"/>
  </si>
  <si>
    <t>① トイレ清掃では除菌剤配合洗剤を使用している。</t>
    <phoneticPr fontId="21"/>
  </si>
  <si>
    <t>② 感染防止を考慮した嘔吐物の処理方法がある。</t>
    <phoneticPr fontId="21"/>
  </si>
  <si>
    <t>合計＝</t>
    <phoneticPr fontId="21"/>
  </si>
  <si>
    <t>水素イオン濃度（pH）</t>
  </si>
  <si>
    <t>原液＝pH5～pH9である事。</t>
  </si>
  <si>
    <t>ⅰ 床用保護剤</t>
  </si>
  <si>
    <t>ⅱ 床用洗浄剤
ⅲ トイレ用洗浄剤
ⅳ ガラス用洗浄剤</t>
    <phoneticPr fontId="21"/>
  </si>
  <si>
    <t>厚生労働省策定の「室内濃度に関する指針値」対象物質である揮発性有機化合物(VOC)を原料に含まない事。</t>
  </si>
  <si>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</si>
  <si>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</si>
  <si>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</si>
  <si>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1"/>
  </si>
  <si>
    <t>3つの設備管理業務の取り組みポイントで-１(ﾚﾍﾞﾙ2)の取り組みがひとつでもある場合</t>
    <phoneticPr fontId="21"/>
  </si>
  <si>
    <t>主要機器は耐用年数以内である。</t>
    <phoneticPr fontId="21"/>
  </si>
  <si>
    <t>主要機器は耐用年数以内である。</t>
    <phoneticPr fontId="21"/>
  </si>
  <si>
    <t>全て耐用年数以内である。</t>
    <phoneticPr fontId="21"/>
  </si>
  <si>
    <r>
      <t>3.2</t>
    </r>
    <r>
      <rPr>
        <b/>
        <sz val="12"/>
        <rFont val="ＭＳ Ｐゴシック"/>
        <family val="3"/>
        <charset val="128"/>
      </rPr>
      <t>　実績値を用いた総合評価</t>
    </r>
    <phoneticPr fontId="21"/>
  </si>
  <si>
    <t>スコア-1.0</t>
  </si>
  <si>
    <t>（１）によるスコア</t>
    <phoneticPr fontId="21"/>
  </si>
  <si>
    <t>加点あり</t>
    <rPh sb="0" eb="2">
      <t>カテン</t>
    </rPh>
    <phoneticPr fontId="21"/>
  </si>
  <si>
    <t>上下なし</t>
    <rPh sb="0" eb="2">
      <t>ジョウゲ</t>
    </rPh>
    <phoneticPr fontId="21"/>
  </si>
  <si>
    <t>減点あり</t>
    <rPh sb="0" eb="2">
      <t>ゲンテン</t>
    </rPh>
    <phoneticPr fontId="21"/>
  </si>
  <si>
    <t>1.0以上1.5未満</t>
  </si>
  <si>
    <t>1.5以上2.0未満</t>
  </si>
  <si>
    <t>2.0以上2.5未満</t>
  </si>
  <si>
    <t>2.5以上3.0未満</t>
  </si>
  <si>
    <t>3.0以上3.5未満</t>
  </si>
  <si>
    <t>3.5以上4.0未満</t>
  </si>
  <si>
    <t>レベル４を満たさない</t>
    <phoneticPr fontId="21"/>
  </si>
  <si>
    <t>ODP＝0かつGWPが低い発泡剤（GWP（100年値）が１以下）を用いた断熱材等を使用している。あるいは発泡剤を用いた断熱材等を使用していない。</t>
    <rPh sb="29" eb="31">
      <t>イカ</t>
    </rPh>
    <rPh sb="33" eb="34">
      <t>モチ</t>
    </rPh>
    <rPh sb="36" eb="40">
      <t>ダンネツザイナド</t>
    </rPh>
    <rPh sb="41" eb="43">
      <t>シヨウ</t>
    </rPh>
    <rPh sb="52" eb="54">
      <t>ハッポウ</t>
    </rPh>
    <rPh sb="54" eb="55">
      <t>ザイ</t>
    </rPh>
    <rPh sb="56" eb="57">
      <t>モチ</t>
    </rPh>
    <rPh sb="59" eb="63">
      <t>ダンネツザイトウ</t>
    </rPh>
    <rPh sb="64" eb="66">
      <t>シヨウ</t>
    </rPh>
    <phoneticPr fontId="21"/>
  </si>
  <si>
    <r>
      <t>kg-CO</t>
    </r>
    <r>
      <rPr>
        <vertAlign val="subscript"/>
        <sz val="10"/>
        <rFont val="ＭＳ Ｐゴシック"/>
        <family val="3"/>
        <charset val="128"/>
      </rPr>
      <t>2</t>
    </r>
    <r>
      <rPr>
        <sz val="10"/>
        <rFont val="ＭＳ Ｐゴシック"/>
        <family val="3"/>
        <charset val="128"/>
      </rPr>
      <t>/kg</t>
    </r>
    <phoneticPr fontId="21"/>
  </si>
  <si>
    <r>
      <t>kg-CO</t>
    </r>
    <r>
      <rPr>
        <vertAlign val="subscript"/>
        <sz val="10"/>
        <rFont val="ＭＳ Ｐゴシック"/>
        <family val="3"/>
        <charset val="128"/>
      </rPr>
      <t>2</t>
    </r>
    <r>
      <rPr>
        <sz val="10"/>
        <rFont val="ＭＳ Ｐゴシック"/>
        <family val="3"/>
        <charset val="128"/>
      </rPr>
      <t>/ｔ</t>
    </r>
    <phoneticPr fontId="21"/>
  </si>
  <si>
    <r>
      <t>kg-CO</t>
    </r>
    <r>
      <rPr>
        <vertAlign val="subscript"/>
        <sz val="10"/>
        <rFont val="ＭＳ Ｐゴシック"/>
        <family val="3"/>
        <charset val="128"/>
      </rPr>
      <t>2</t>
    </r>
    <r>
      <rPr>
        <sz val="10"/>
        <rFont val="ＭＳ Ｐゴシック"/>
        <family val="3"/>
        <charset val="128"/>
      </rPr>
      <t>/㎡</t>
    </r>
    <phoneticPr fontId="21"/>
  </si>
  <si>
    <t>〃</t>
    <phoneticPr fontId="21"/>
  </si>
  <si>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1"/>
  </si>
  <si>
    <r>
      <t>kg-CO</t>
    </r>
    <r>
      <rPr>
        <vertAlign val="subscript"/>
        <sz val="10"/>
        <rFont val="ＭＳ Ｐゴシック"/>
        <family val="3"/>
        <charset val="128"/>
      </rPr>
      <t>2</t>
    </r>
    <r>
      <rPr>
        <sz val="10"/>
        <rFont val="ＭＳ Ｐゴシック"/>
        <family val="3"/>
        <charset val="128"/>
      </rPr>
      <t>/kg</t>
    </r>
    <phoneticPr fontId="21"/>
  </si>
  <si>
    <t>重点
項目等</t>
    <rPh sb="0" eb="2">
      <t>ジュウテン</t>
    </rPh>
    <rPh sb="3" eb="5">
      <t>コウモク</t>
    </rPh>
    <rPh sb="5" eb="6">
      <t>トウ</t>
    </rPh>
    <phoneticPr fontId="21"/>
  </si>
  <si>
    <t>重点項目に対する全国版評価基準の見直し</t>
    <rPh sb="0" eb="2">
      <t>ジュウテン</t>
    </rPh>
    <rPh sb="2" eb="4">
      <t>コウモク</t>
    </rPh>
    <rPh sb="5" eb="6">
      <t>タイ</t>
    </rPh>
    <rPh sb="8" eb="11">
      <t>ゼンコクバン</t>
    </rPh>
    <rPh sb="11" eb="13">
      <t>ヒョウカ</t>
    </rPh>
    <rPh sb="13" eb="15">
      <t>キジュン</t>
    </rPh>
    <rPh sb="16" eb="18">
      <t>ミナオ</t>
    </rPh>
    <phoneticPr fontId="21"/>
  </si>
  <si>
    <t>●自然</t>
    <rPh sb="0" eb="2">
      <t>シゼン</t>
    </rPh>
    <phoneticPr fontId="21"/>
  </si>
  <si>
    <t>Ａ（全国版準用）</t>
    <rPh sb="1" eb="4">
      <t>ゼンコクバン</t>
    </rPh>
    <rPh sb="4" eb="6">
      <t>ジュンヨウ</t>
    </rPh>
    <phoneticPr fontId="21"/>
  </si>
  <si>
    <t>Ｂ（推奨内容）</t>
    <rPh sb="1" eb="3">
      <t>スイショウ</t>
    </rPh>
    <rPh sb="3" eb="5">
      <t>ナイヨウ</t>
    </rPh>
    <phoneticPr fontId="21"/>
  </si>
  <si>
    <t>●自然</t>
    <rPh sb="1" eb="3">
      <t>シゼン</t>
    </rPh>
    <phoneticPr fontId="21"/>
  </si>
  <si>
    <t>●大切</t>
    <rPh sb="1" eb="3">
      <t>タイセツ</t>
    </rPh>
    <phoneticPr fontId="21"/>
  </si>
  <si>
    <t>Ｄ（独自基準）</t>
    <rPh sb="1" eb="3">
      <t>ドクジ</t>
    </rPh>
    <rPh sb="3" eb="5">
      <t>キジュン</t>
    </rPh>
    <phoneticPr fontId="21"/>
  </si>
  <si>
    <t>Ｃ（独自加点）</t>
    <rPh sb="2" eb="4">
      <t>ドクジ</t>
    </rPh>
    <rPh sb="3" eb="5">
      <t>カテン</t>
    </rPh>
    <phoneticPr fontId="21"/>
  </si>
  <si>
    <t>Ａ’（全国版準用）</t>
    <rPh sb="2" eb="5">
      <t>ゼンコクバン</t>
    </rPh>
    <rPh sb="5" eb="7">
      <t>ジュンヨウ</t>
    </rPh>
    <phoneticPr fontId="21"/>
  </si>
  <si>
    <t>Ｃ（独自加点）
Ｄ（独自基準）</t>
    <rPh sb="2" eb="4">
      <t>ドクジ</t>
    </rPh>
    <rPh sb="4" eb="6">
      <t>カテン</t>
    </rPh>
    <phoneticPr fontId="21"/>
  </si>
  <si>
    <t>●とも，自然</t>
    <rPh sb="3" eb="5">
      <t>シゼン</t>
    </rPh>
    <phoneticPr fontId="21"/>
  </si>
  <si>
    <t>Ｂ（推奨内容）
Ｄ（独自基準）</t>
    <rPh sb="1" eb="3">
      <t>スイショウ</t>
    </rPh>
    <rPh sb="3" eb="5">
      <t>ナイヨウ</t>
    </rPh>
    <rPh sb="8" eb="10">
      <t>ドクジ</t>
    </rPh>
    <rPh sb="10" eb="12">
      <t>キジュン</t>
    </rPh>
    <phoneticPr fontId="21"/>
  </si>
  <si>
    <t>重点項目キーワード凡例　「大切」：大切に使う　「とも」ともに使う　「自然」：自然からつくる</t>
    <rPh sb="0" eb="2">
      <t>ジュウテン</t>
    </rPh>
    <rPh sb="2" eb="4">
      <t>コウモク</t>
    </rPh>
    <rPh sb="9" eb="11">
      <t>ハンレイ</t>
    </rPh>
    <phoneticPr fontId="21"/>
  </si>
  <si>
    <t>●とも</t>
    <phoneticPr fontId="21"/>
  </si>
  <si>
    <t>○</t>
    <phoneticPr fontId="21"/>
  </si>
  <si>
    <t>Ａ’（全国版準用）
Ｂ（推奨内容）</t>
    <phoneticPr fontId="21"/>
  </si>
  <si>
    <t>地域性への配慮，快適性の向上</t>
  </si>
  <si>
    <t>地域性への配慮，快適性の向上</t>
    <phoneticPr fontId="21"/>
  </si>
  <si>
    <t>地域性への配慮，快適性の向上</t>
    <phoneticPr fontId="21"/>
  </si>
  <si>
    <t>「低炭素景観の創出」「独自システム」に寄与する関連項目の取組</t>
    <rPh sb="11" eb="13">
      <t>ドクジ</t>
    </rPh>
    <phoneticPr fontId="21"/>
  </si>
  <si>
    <t>建物全体・共用部分</t>
    <phoneticPr fontId="21"/>
  </si>
  <si>
    <t>住居・宿泊部分</t>
    <phoneticPr fontId="21"/>
  </si>
  <si>
    <t>デザインされた格子状ルーバーやライトシェルフ，軒，庇等，推奨内容の昼光利用設備を，１種類以上採用している。</t>
    <phoneticPr fontId="21"/>
  </si>
  <si>
    <t>同左</t>
    <rPh sb="0" eb="1">
      <t>ドウ</t>
    </rPh>
    <rPh sb="1" eb="2">
      <t>サ</t>
    </rPh>
    <phoneticPr fontId="21"/>
  </si>
  <si>
    <t>建物全体・共用部分</t>
    <phoneticPr fontId="21"/>
  </si>
  <si>
    <t>住居・宿泊部分</t>
    <phoneticPr fontId="21"/>
  </si>
  <si>
    <t>デザインされた格子状ルーバーやライトシェルフ，軒，庇等，推奨内容の昼光制御設備を，１種類以上採用している。</t>
    <rPh sb="35" eb="37">
      <t>セイギョ</t>
    </rPh>
    <phoneticPr fontId="21"/>
  </si>
  <si>
    <t>色欄について，プルダウンメニューから選択，または数値・コメントを記入のこと</t>
    <rPh sb="0" eb="1">
      <t>イロ</t>
    </rPh>
    <rPh sb="1" eb="2">
      <t>ラン</t>
    </rPh>
    <rPh sb="18" eb="20">
      <t>センタク</t>
    </rPh>
    <rPh sb="24" eb="26">
      <t>スウチ</t>
    </rPh>
    <rPh sb="32" eb="34">
      <t>キニュウ</t>
    </rPh>
    <phoneticPr fontId="21"/>
  </si>
  <si>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1"/>
  </si>
  <si>
    <t>吹出し口，吸込み口からの騒音</t>
    <rPh sb="12" eb="14">
      <t>ソウオン</t>
    </rPh>
    <phoneticPr fontId="21"/>
  </si>
  <si>
    <t>低騒音型吹出し口，低騒音型吸込み口，位置，風量・風速の適正化など</t>
  </si>
  <si>
    <t>防音カバー，位置など</t>
  </si>
  <si>
    <t>防音カバー，機械室の吸音・遮音，位置など</t>
  </si>
  <si>
    <t>防振架台，防振支持など</t>
    <rPh sb="7" eb="9">
      <t>シジ</t>
    </rPh>
    <phoneticPr fontId="21"/>
  </si>
  <si>
    <t>消音ダクト，消音エルボ，消音ボックス，防音管巻き，位置など</t>
  </si>
  <si>
    <t>防音管巻き，位置など</t>
    <rPh sb="0" eb="2">
      <t>ボウオン</t>
    </rPh>
    <rPh sb="2" eb="3">
      <t>カン</t>
    </rPh>
    <rPh sb="3" eb="4">
      <t>マ</t>
    </rPh>
    <rPh sb="6" eb="8">
      <t>イチ</t>
    </rPh>
    <phoneticPr fontId="21"/>
  </si>
  <si>
    <t>防振吊り，防振支持，フレキシブルジョイント，貫通部の防振施工など</t>
  </si>
  <si>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1"/>
  </si>
  <si>
    <t>（屋外）冷却塔，室外機等からの騒音</t>
  </si>
  <si>
    <t>防音塀，遮蔽体，防振支持，位置など</t>
    <rPh sb="0" eb="2">
      <t>ボウオン</t>
    </rPh>
    <rPh sb="2" eb="3">
      <t>ヘイ</t>
    </rPh>
    <phoneticPr fontId="21"/>
  </si>
  <si>
    <t>位置，風量・風速の適正化など</t>
  </si>
  <si>
    <t>防音塀，遮蔽体，防振支持，位置など</t>
    <rPh sb="0" eb="2">
      <t>ボウオン</t>
    </rPh>
    <rPh sb="2" eb="3">
      <t>ヘイ</t>
    </rPh>
    <rPh sb="4" eb="6">
      <t>シャヘイ</t>
    </rPh>
    <rPh sb="6" eb="7">
      <t>タイ</t>
    </rPh>
    <rPh sb="8" eb="12">
      <t>ボウシンシジ</t>
    </rPh>
    <rPh sb="13" eb="15">
      <t>イチ</t>
    </rPh>
    <phoneticPr fontId="21"/>
  </si>
  <si>
    <t>トイレ，浴室等の給配水音，排水音，使用音</t>
    <rPh sb="11" eb="12">
      <t>オン</t>
    </rPh>
    <rPh sb="13" eb="15">
      <t>ハイスイ</t>
    </rPh>
    <rPh sb="15" eb="16">
      <t>オン</t>
    </rPh>
    <rPh sb="17" eb="19">
      <t>シヨウ</t>
    </rPh>
    <rPh sb="19" eb="20">
      <t>オン</t>
    </rPh>
    <phoneticPr fontId="21"/>
  </si>
  <si>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1"/>
  </si>
  <si>
    <t>適正な水圧，ウォーターハンマー防止器の採用など</t>
  </si>
  <si>
    <t>防振ゴム，防振マット，低騒音タイプの機器</t>
  </si>
  <si>
    <t>テレビ，ラジオ，会話等の一般の発生音がかなり聞こえる。</t>
  </si>
  <si>
    <t>テレビ，ラジオ，会話等の一般の発生音が小さく聞こえる。</t>
  </si>
  <si>
    <t>テレビ，ラジオ，会話等の一般の発生音が通常では聞こえない。</t>
  </si>
  <si>
    <t>椅子の移動音，物の落下音がかなりうるさい。　</t>
  </si>
  <si>
    <t>椅子の移動音，物の落下音がかなり気になる。</t>
  </si>
  <si>
    <t>椅子の移動音，物の落下音が小さく聞こえる。　</t>
  </si>
  <si>
    <t>椅子の移動音，物の落下音が小さく聞こえる。</t>
  </si>
  <si>
    <t>椅子の移動音，物の落下音がほとんど聞こえない。</t>
  </si>
  <si>
    <t>壁，床，天井のうち一面に吸音材を使用している。</t>
    <rPh sb="9" eb="11">
      <t>イチメン</t>
    </rPh>
    <rPh sb="16" eb="18">
      <t>シヨウ</t>
    </rPh>
    <phoneticPr fontId="21"/>
  </si>
  <si>
    <t>壁，床，天井のうち二面に吸音材を使用している。</t>
  </si>
  <si>
    <t>壁，床，天井に吸音材を使用している。</t>
  </si>
  <si>
    <t>冬期20℃，夏期28℃と多少我慢を強いる室温設定。</t>
  </si>
  <si>
    <t>冬期21℃，夏期28℃と程度と多少我慢を強いる室温設定。</t>
    <rPh sb="12" eb="14">
      <t>テイド</t>
    </rPh>
    <phoneticPr fontId="21"/>
  </si>
  <si>
    <t>冬期10℃以上，夏期30℃以下と多少我慢を強いる室温設定。</t>
  </si>
  <si>
    <t>冬期18℃，夏期28℃程度と多少我慢を強いる室温設定。</t>
  </si>
  <si>
    <t>各室において冬期18℃，夏期28℃程度を強いる設定としている。</t>
  </si>
  <si>
    <t>一般的な冬期22℃，夏期26℃の設定。</t>
  </si>
  <si>
    <t>一般的な冬期23℃，夏期26℃の設定。</t>
  </si>
  <si>
    <t>一般的な冬期18～20℃，夏期25～28℃の設定。</t>
  </si>
  <si>
    <t>冬期18℃以上，夏期28℃以下の範囲を設定している。</t>
  </si>
  <si>
    <t>一般的な冬期20℃，夏期26℃の設定。</t>
  </si>
  <si>
    <t>各居室において一般的な冬期22℃，夏期26℃を設定している。</t>
  </si>
  <si>
    <t>冬期20℃以上 ，夏期25℃以下の設定。</t>
    <rPh sb="5" eb="7">
      <t>イジョウ</t>
    </rPh>
    <rPh sb="14" eb="16">
      <t>イカ</t>
    </rPh>
    <phoneticPr fontId="21"/>
  </si>
  <si>
    <t>ASHRAE快適域やPOEM-Oを参考に冬期22℃～24℃，夏期24℃～26℃の範囲を設定している。</t>
  </si>
  <si>
    <t>冬期22℃以上，夏期24℃以下の設定。</t>
    <rPh sb="5" eb="7">
      <t>イジョウ</t>
    </rPh>
    <rPh sb="13" eb="15">
      <t>イカ</t>
    </rPh>
    <phoneticPr fontId="21"/>
  </si>
  <si>
    <t>ASHRAE快適域やPOEM-Oを参考に冬期20℃～22℃，夏期24℃～26℃の範囲を設定している。</t>
  </si>
  <si>
    <t>各居室において冬期22～24℃，夏期24～26℃の範囲を設定している。</t>
  </si>
  <si>
    <t>冬期20℃，夏期28℃と多少我慢を強いる室温を実現するための最低限の設備容量が確保されている。</t>
  </si>
  <si>
    <t>冬期21℃，夏期28℃と多少我慢を強いる室温を実現するための最低限の設備容量が確保されている。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</si>
  <si>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</si>
  <si>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</si>
  <si>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</si>
  <si>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一般的な設定値である冬期23℃，夏期26℃の室温を実現するための設備容量が確保されている。</t>
  </si>
  <si>
    <t>一般的な冬期20℃，夏期27℃の室温を実現するための設備容量が確保されている。</t>
  </si>
  <si>
    <t>冬期18℃以上，夏期28℃以下の室温を実現するための最低限の設備容量が確保されている。</t>
  </si>
  <si>
    <t>一般的な設定値である冬期20℃，夏期26℃の室温を実現するための設備容量が確保されている。</t>
  </si>
  <si>
    <t>冬期20℃以上，夏期25℃以下の室温を実現するための設備容量が確保されている。</t>
    <rPh sb="5" eb="7">
      <t>イジョウ</t>
    </rPh>
    <rPh sb="13" eb="15">
      <t>イカ</t>
    </rPh>
    <phoneticPr fontId="21"/>
  </si>
  <si>
    <t>冬期24℃，夏期24℃の室温を実現することが可能な設備容量が確保されている。</t>
  </si>
  <si>
    <t>冬期22℃以上，夏期24℃以下の室温を実現することが可能な設備容量が確保されている。</t>
    <rPh sb="5" eb="7">
      <t>イジョウ</t>
    </rPh>
    <rPh sb="13" eb="15">
      <t>イカ</t>
    </rPh>
    <phoneticPr fontId="21"/>
  </si>
  <si>
    <t>冬期22℃，夏期24℃の室温を実現することが可能な設備容量が確保されている。</t>
  </si>
  <si>
    <t>一般的な負荷変動を考慮し，ある程度制御可能なシステムになっている。</t>
  </si>
  <si>
    <t>窓,外壁,屋根や床（特にピロティ）において室内への熱の侵入に対しての配慮が十分でなく，日射遮蔽性能や断熱性能が低い。</t>
  </si>
  <si>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1"/>
  </si>
  <si>
    <t>日本住宅性能表示基準「5-1断熱等性能等級」における等級2相当の屋根・外壁・床の部材構成，開口部の仕様を設定している。</t>
  </si>
  <si>
    <t>窓,外壁,屋根や床（特にピロティ）において，室内への熱の侵入に対しての配慮がなされており，実用上，日射遮蔽性能および断熱性能に問題がない。</t>
  </si>
  <si>
    <t>日本住宅性能表示基準「5-1断熱等性能等級」における等級3相当の屋根・外壁・床の部材構成，開口部の仕様を設定している。</t>
  </si>
  <si>
    <t>窓,外壁,屋根や床（特にピロティ）において，室内への熱の侵入に対して，十分な配慮がなされており，最良の日射遮蔽性能および断熱性能を有する。</t>
  </si>
  <si>
    <t>日本住宅性能表示基準「5-1断熱等性能等級」における等級4相当の屋根・外壁・床の部材構成，開口部の仕様を設定している。</t>
  </si>
  <si>
    <t>窓システム，外壁，屋根や床（特にピロティ）において熱の侵入に対して配慮が無く，断熱性能が低い。
（窓システムSC：0.7程度，U=6.0(W/m2K) 程度，外壁・その他：U=3.0(W/m2K) 程度）</t>
  </si>
  <si>
    <t>窓システム，外壁，屋根や床（特にピロティ）において，室内への熱の侵入に対しての配慮がなされており，実用上，日射遮蔽性能および断熱性能に問題がない。
（窓システムSC：0.5程度，U=4.0(W/m2K) 程度，外壁・その他：U=2.0(W/m2K) 程度）</t>
  </si>
  <si>
    <t>窓システム，外壁，屋根や床（特にピロティ）において，室内への熱の侵入に対しての配慮がなされており，実用上，日射遮蔽性能および断熱性能に問題がない。（窓システムSC：0.5程度，U=4.0(W/m2K)程度，外壁その他：U=2.0(W/m2K)程度）</t>
  </si>
  <si>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</si>
  <si>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窓システム，外壁，屋根や床（特にピロティ）において，室内への熱の侵入に対して，十分な配慮がなされており，最良の日射遮蔽性能および断熱性能を有する。（窓システムSC：0.2程度，U=3.0(W/m2K)程度，外壁その他：U=1.0(W/m2K)程度）</t>
  </si>
  <si>
    <t>方位別やペリメータとインテリア別などの区別が無く，１系統で空調システムが計画されており，季節別に冷暖切り替えが必要である。</t>
  </si>
  <si>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</si>
  <si>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</si>
  <si>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</si>
  <si>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</si>
  <si>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</si>
  <si>
    <t>レベル３程度の空調のゾーニングがなされており，さらにゾーン別に冷房・暖房の選択が可能な空調システムとしている。</t>
  </si>
  <si>
    <t>レベル３程度の空調ゾーニングがなされ，さらにゾーン別に冷房・暖房の選択が可能な空調システムが計画されている。</t>
  </si>
  <si>
    <t>二重ダクト方式（ＡＨＵで４管式），４管式ＦＣＵ方式，タスク・アンビエント空調方式（ゾーニングのグレード，冷暖同時の双方を評価）</t>
  </si>
  <si>
    <t>方位別やペリメータとインテリア別など空調系統が分かれている上，さらに細かな空調ゾーニング（概ね40m2以下）がされている。さらにゾーン別に冷房・暖房の選択が自由な空調システムとしている。</t>
  </si>
  <si>
    <t>同一フロアで，熱負荷別に売り場・テナント用に細かくゾーニングがなされており，各ゾーン単位で冷房・暖房が可能な空調システムが計画されている。</t>
  </si>
  <si>
    <t>マルチユニット型ヒートポンプ方式（冷暖同時），二重ダクト方式（ＡＨＵで４管式），４管式ＦＣＵ方式レベル３，４以上の細かなゾーニング（４０m2程度）による。</t>
  </si>
  <si>
    <t>比例制御，多位置制御による温度・湿度制御になっている。</t>
  </si>
  <si>
    <t>在室者は手元で，Low-Middle-Highの風量切り替えが可能である。</t>
  </si>
  <si>
    <t>在室者は手元で，直接温度設定やLow-Middle-Highの風量調整が可能である。ただし，熱源側は季節に応じて冷暖切り替えである。</t>
  </si>
  <si>
    <t>在室者は手元で，直接，温度設定や風量調整が可能である。（熱源側は冷暖同時）</t>
  </si>
  <si>
    <t>住戸内の温度を設定しつつ，各室において温度の個別設定が可能。</t>
  </si>
  <si>
    <t>時間外や休日時には，空調運転を行わない。</t>
  </si>
  <si>
    <t>同一フロアで熱負荷別に複数にゾーニングがなされておらず，代表的なゾーン監視のためにセンサー等の監視システムが設置されている。</t>
  </si>
  <si>
    <t>時間外や休日時には，居住者のフロア全体が空調可能なシステムとなっている。</t>
  </si>
  <si>
    <t>同一フロアで熱負荷別に複数にゾーニングがなされており，複数ゾーン監視のために制御センサとは別に複数の監視・計測用センサがある監視システムが設置されている。</t>
  </si>
  <si>
    <t>時間外や休日時には，居住者のゾーンのみ空調可能なシステムとなっている。</t>
  </si>
  <si>
    <t>同一フロアで，売り場・テナント用に細かくゾーニングがなされており，それを細かく監視するために制御センサとは別に複数の監視・計測用センサがある監視システムが設置されている。</t>
  </si>
  <si>
    <t>加湿機能を有し，かつ一般的な冬期40％，夏期50％の設定で計画されている。</t>
  </si>
  <si>
    <t>加湿機能を有し，かつ一般的な冬期40～70％，夏期50～65％。の範囲で計画されている。　　　　　　　　　　</t>
  </si>
  <si>
    <t>一般的な冬期30～45％，夏期55％～80％の範囲で計画されている。</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</si>
  <si>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</si>
  <si>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</si>
  <si>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加湿・除湿機能を有し，かつASHRAE快適域やPOEM-Oを参考に45％～55％の範囲で計画されている。</t>
  </si>
  <si>
    <t>加湿・除湿機能を有し，ASHRAE快適域やPOEM-Oを参考に45％～55％の範囲で計画されている。</t>
  </si>
  <si>
    <t>加湿・除湿機能を有し，45％～55％の快適範囲を設定し，なおかつ，熱橋となる部分の断熱補強，防湿層，通気層の設置等の結露防止対策がとられている。</t>
  </si>
  <si>
    <t>加湿機能を有し，かつ一般的な冬期40％，夏期50％の湿度を実現する設備容量が確保されている。</t>
  </si>
  <si>
    <t>加湿機能を有し，かつ一般的な冬期40～70％，夏期50～65％の湿度を実現する設備容量が確保されている。</t>
  </si>
  <si>
    <t>一般的な冬期30～45％，夏期55％～80％の範囲にある。</t>
  </si>
  <si>
    <t>加湿機能を有し，かつ一般的な夏期50％，冬期40％の湿度を実現する設備容量が確保されている。</t>
  </si>
  <si>
    <t>加湿機能・除湿機能を有し，かつ45％～55％の範囲の湿度を実現することが可能な設備容量が確保されている。</t>
  </si>
  <si>
    <t>空調居住域の上下温度差，気流速度や非空調部屋との室間温度差などについて特に配慮していない空調方式が計画されている。</t>
  </si>
  <si>
    <t>通常の空調方式であるが，居住域の上下温度差や気流速度に配慮した給排気計画がなされている。</t>
  </si>
  <si>
    <t>通常の空調方式であるが，居住域の上下温度差や気流速度および診療室内の間仕切りなどに配慮した給排気計画がなされている。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</si>
  <si>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</si>
  <si>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t>
  </si>
  <si>
    <t>空調居住域の上下温度差，気流速度や非空調部屋との室間温度差などが少なくなるように配慮された空調方式が計画されている。</t>
  </si>
  <si>
    <t>空調居住域の上下温度差，気流速度や非空調部屋との室間温度差などについて特に配慮していない空調方式が採用されている。</t>
  </si>
  <si>
    <t>通常の空調方式であるが，居住域の上下温度差や気流速度に配慮した給排気計画がされている。上下温度差及び気流速度の目標値をおおよそ5℃以内，0.35m/s程度に設定している。</t>
  </si>
  <si>
    <t>通常の空調方式であるが，居住域の上下温度差や気流速度および診療室内の間仕切りなどに配慮した給排気計画がされている。上下温度差及び気流速度の目標値をおおよそ5℃以内，0.35m/s程度に設定している。</t>
  </si>
  <si>
    <t>空調居住域の上下温度差，気流速度の目標値をおおよそ4℃以内，0.4m/s程度に設定している。トイレ・浴室などを含めた非空調部分でもスポット的空調対応が可能で，室間温度差を軽減することができる。</t>
  </si>
  <si>
    <t>居住域の上下温度差や気流速度が少なくなるように配慮された空調方式＊が採用されている。あるいは，その他の空調方式で，上下温度差および気流速度の目標値をおおよそ2℃以内，0.15m/s程度に設定している。</t>
    <rPh sb="49" eb="50">
      <t>タ</t>
    </rPh>
    <rPh sb="51" eb="53">
      <t>クウチョウ</t>
    </rPh>
    <rPh sb="53" eb="55">
      <t>ホウシキ</t>
    </rPh>
    <phoneticPr fontId="21"/>
  </si>
  <si>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1"/>
  </si>
  <si>
    <t>居住域の上下温度差や気流速度が少なくなるように配慮された空調方式＊が採用されている。上下温度差および気流速度の目標値をおおよそ2℃以内，0.15m/s程度に設定している。</t>
  </si>
  <si>
    <t>空調居住域の上下温度差，気流速度の目標値をおおよそ2℃以内，0.2m/s程度に設定している。トイレ・浴室などを含めた全室が空調可能とし，室間温度差を無くすことができる。</t>
  </si>
  <si>
    <t>＊　例えば，天井・床輻射冷暖房方式や床吹出し方式などを指す。</t>
  </si>
  <si>
    <t>南，東の両面に窓がある。</t>
  </si>
  <si>
    <t>昼光利用設備が２種類以上ある，または高度な機能を有する。</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</si>
  <si>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</si>
  <si>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</si>
  <si>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</si>
  <si>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反射板形状の工夫，ルーバー・透光性カバーなどにより十分にグレアを制限している器具。G1，G0，V分類の器具。</t>
  </si>
  <si>
    <t>スクリーン，オーニング，庇によりグレアを制御。</t>
  </si>
  <si>
    <t>ブラインドによりグレアを制御，もしくはスクリーン，オーニング，庇のうち2種類を組み合わせてグレアを制御。</t>
  </si>
  <si>
    <t>カーテン，スクリーン，オーニング，庇によりグレアを制御。</t>
  </si>
  <si>
    <t>ブラインドに，スクリーン，オーニング，庇のうち１種類以上を組合せてグレアを制御。</t>
  </si>
  <si>
    <t>ブラインドによりグレアを制御，もしくはカーテン，スクリーン，オーニング，庇のうち，２種類以上を組み合わせて制御。</t>
  </si>
  <si>
    <t>ブラインドに，カーテン，スクリーン，オーニング，庇のうち，１種類以上を組み合わせて制御。</t>
  </si>
  <si>
    <t>レベル３を満たし，かつ，カーテンを使用する，などの運用面の取り組みを行っている。</t>
  </si>
  <si>
    <t>児童生徒等から見て，黒板の外側15°以内の範囲に輝きの強い光源（昼光の場合は窓）がない。</t>
  </si>
  <si>
    <t>見え方を妨害するような光沢が，黒板及び机上面にない。</t>
  </si>
  <si>
    <t>見え方を妨害するような電灯や明るい窓等が，テレビ及びコンピュータ等の画面に映じていない。</t>
  </si>
  <si>
    <t>[照度]＜300lx，または1000lx≦[照度]</t>
  </si>
  <si>
    <t>全般照明方式の場合で，300lx≦[照度] ＜500lx。
タスク・アンビエント照明方式もしくはこれに準ずる照明方式の場合で，タスク照度が300lx以上500lx未満，またはアンビエント照度がタスク照度の1/3未満もしくは2/3以上。</t>
  </si>
  <si>
    <t>300lx≦　[照度] ＜500lx，
または　750lx≦　[照度]</t>
  </si>
  <si>
    <t>全般照明方式の場合で，照度が500lx以上1000lx未満。
タスク・アンビエント照明方式もしくはこれに準ずる照明方式の場合で，タスク照度が500lx以上1000lx未満，かつアンビエント照度がタスク照度の1/3以上2/3未満。</t>
  </si>
  <si>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</si>
  <si>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1"/>
  </si>
  <si>
    <t>レベル３を満たし，かつ複数の機器の使い分けが可能</t>
    <rPh sb="11" eb="13">
      <t>フクスウ</t>
    </rPh>
    <rPh sb="14" eb="16">
      <t>キキ</t>
    </rPh>
    <rPh sb="17" eb="18">
      <t>ツカ</t>
    </rPh>
    <rPh sb="19" eb="20">
      <t>ワ</t>
    </rPh>
    <rPh sb="22" eb="24">
      <t>カノウ</t>
    </rPh>
    <phoneticPr fontId="21"/>
  </si>
  <si>
    <t>明るさや学習形態に応じた制御区画であり，在室者自らが点灯・消灯によって制御できる</t>
  </si>
  <si>
    <t>各執務者・売り場等の部分について，細かな照明制御ができる，または，自動照明制御ができる。</t>
  </si>
  <si>
    <t>レベル３を満たしている。かつ，部分的に自動調光ができる。</t>
  </si>
  <si>
    <t>室内の複数部分に対して細かい照明制御ができる，または，自動照明制御ができる。</t>
    <rPh sb="27" eb="29">
      <t>ジドウ</t>
    </rPh>
    <rPh sb="29" eb="31">
      <t>ショウメイ</t>
    </rPh>
    <rPh sb="31" eb="33">
      <t>セイギョ</t>
    </rPh>
    <phoneticPr fontId="21"/>
  </si>
  <si>
    <t>制御区画が分かれていない，かつ，照明制御盤・器具等で調整できない。</t>
  </si>
  <si>
    <t>４作業単位で照明制御できる，または，照明制御盤・器具等で調整できる。</t>
    <rPh sb="6" eb="8">
      <t>ショウメイ</t>
    </rPh>
    <phoneticPr fontId="21"/>
  </si>
  <si>
    <t>複数ベッド単位で照明制御できる，または，照明制御盤・器具等で調整できる。</t>
    <rPh sb="8" eb="10">
      <t>ショウメイ</t>
    </rPh>
    <rPh sb="10" eb="12">
      <t>セイギョ</t>
    </rPh>
    <rPh sb="20" eb="22">
      <t>ショウメイ</t>
    </rPh>
    <rPh sb="22" eb="25">
      <t>セイギョバン</t>
    </rPh>
    <phoneticPr fontId="21"/>
  </si>
  <si>
    <t>室内全体に対して照明制御盤，器具等による大まかな調整ができる。</t>
  </si>
  <si>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1"/>
  </si>
  <si>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1"/>
  </si>
  <si>
    <t>ホルムアルデヒド濃度が100μg/m3以下。
かつ，トルエン濃度が260μg/m3以下。
測定によらない場合，建築基準法を満たしている。</t>
  </si>
  <si>
    <t>建築基準法を満たしており，かつ建築基準法規制対象外となる建築材料（告示対象外の建材およびJIS・JAS規格のＦ☆☆☆☆）をほぼ全面的（床・壁・天井・天井裏の面積の合計の70％以上の面積）に採用している。</t>
  </si>
  <si>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1"/>
  </si>
  <si>
    <t>ホルムアルデヒド濃度が75μg/m3以下。
かつ，トルエン濃度が195μg/m3以下。</t>
  </si>
  <si>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</si>
  <si>
    <t xml:space="preserve">ホルムアルデヒド濃度が50μg/m3以下。
かつ，トルエン濃度が130μg/m3以下。
</t>
  </si>
  <si>
    <t>吹き付けアスベスト等を使用しているが，封じ込め又は囲い込みが行われている。</t>
  </si>
  <si>
    <t>内装は，床・壁の50％以上～65％未満の面積において，ダニ・カビの発生を抑制，あるいは清掃・メンテナンスに配慮したものとなっている。</t>
  </si>
  <si>
    <t>内装は，床・壁の50％以上～65％未満の面積において，ダニ・カビの発生を抑制，あるいは清掃・メンテナンスに配慮したものとなっている。</t>
    <rPh sb="17" eb="19">
      <t>ミマン</t>
    </rPh>
    <phoneticPr fontId="21"/>
  </si>
  <si>
    <t>内装は，床・壁の65％以上～80％未満の面積において，ダニ・カビの発生を抑制，あるいは清掃・メンテナンスに配慮したものとなっている。</t>
  </si>
  <si>
    <t>内装は，床・壁の80％以上の面積において，ダニ・カビの発生を抑制，あるいは清掃・メンテナンスに配慮したものとなっている。</t>
  </si>
  <si>
    <t>レベル３の基準に加え，定期的に掃除を行っている，などの運用面の取組を行っている。</t>
  </si>
  <si>
    <t>冷却塔の水処理，飛散対策等が最低限施されており，給湯器も最低限の対策が施されている。</t>
  </si>
  <si>
    <t>冷却塔がない。または，冷却塔の水処理，飛散対策等が十分に施されており，給湯器は最低限の対策が施されている。</t>
  </si>
  <si>
    <t>確実な対策を行うために，レベル４を超える特別な配慮を行っている。かつ，それらの設備のメンテナンスが容易な計画となっている。</t>
  </si>
  <si>
    <t>窓が開閉不可能な居室において，自然換気有効開口がない，または25cm2/m2未満。あるいは窓が開閉可能な居室において，自然換気有効開口面積が居室床面積の1/50以上</t>
  </si>
  <si>
    <t>窓が開閉不可能な居室において自然換気有効開口がない，または50cm2/m2未満。あるいは窓が開閉可能な居室において，自然換気有効開口面積が居室床面積の1/20以上</t>
  </si>
  <si>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</si>
  <si>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</si>
  <si>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</si>
  <si>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</si>
  <si>
    <t>空気取り入れ口は敷地周囲の状況を勘案して，汚染源のない方位に設けられている。かつ，各種排気口と異なる方位か，または3ｍ以上離れて設置されている。</t>
  </si>
  <si>
    <t>空気取り入れ口は敷地周囲の状況を勘案して，汚染源のない方位に設けられている。</t>
  </si>
  <si>
    <t>空気取り入れ口は敷地周囲の状況を勘案して，汚染源のない方位に設けられている。かつ，各種排気口と6ｍ以上離れて設置されている。</t>
  </si>
  <si>
    <t>空気取り入れ口は敷地周囲の状況を勘案して，汚染源のない方位に設けられている。かつ，各種排気口と異なる方位で，かつ6ｍ以上離れて設置されている。</t>
  </si>
  <si>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</si>
  <si>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</si>
  <si>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</si>
  <si>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</si>
  <si>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</si>
  <si>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CO2監視が中央で常時行えるシステムとなっている。かつ，空気質を適正に維持するための管理マニュアル等が整備されており，有効に機能している。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</si>
  <si>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</si>
  <si>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(加点後)</t>
    <rPh sb="1" eb="3">
      <t>カテン</t>
    </rPh>
    <rPh sb="3" eb="4">
      <t>ゴ</t>
    </rPh>
    <phoneticPr fontId="21"/>
  </si>
  <si>
    <t>(加点後)</t>
    <phoneticPr fontId="21"/>
  </si>
  <si>
    <t>加点条件</t>
    <rPh sb="0" eb="2">
      <t>カテン</t>
    </rPh>
    <rPh sb="2" eb="4">
      <t>ジョウケン</t>
    </rPh>
    <phoneticPr fontId="21"/>
  </si>
  <si>
    <t>建物全体・共用部分</t>
    <phoneticPr fontId="21"/>
  </si>
  <si>
    <t>住居・宿泊部分</t>
    <phoneticPr fontId="21"/>
  </si>
  <si>
    <t>その１</t>
    <phoneticPr fontId="21"/>
  </si>
  <si>
    <t>敷地や建物内に緑などの自然を配し，すべての利用者がそれを感じることができるよう窓等が適切に設置されている。</t>
    <phoneticPr fontId="21"/>
  </si>
  <si>
    <t>　</t>
    <phoneticPr fontId="21"/>
  </si>
  <si>
    <t>　</t>
    <phoneticPr fontId="21"/>
  </si>
  <si>
    <t>その1</t>
    <phoneticPr fontId="21"/>
  </si>
  <si>
    <t>その1</t>
    <phoneticPr fontId="21"/>
  </si>
  <si>
    <t>その2</t>
    <phoneticPr fontId="21"/>
  </si>
  <si>
    <t>吹抜や借景を取り入れた窓の設置などの工夫により，空間の広がりを感じられるような計画としている。</t>
    <phoneticPr fontId="21"/>
  </si>
  <si>
    <t>その2</t>
    <phoneticPr fontId="21"/>
  </si>
  <si>
    <t>加点数</t>
    <rPh sb="0" eb="2">
      <t>カテン</t>
    </rPh>
    <rPh sb="2" eb="3">
      <t>スウ</t>
    </rPh>
    <phoneticPr fontId="21"/>
  </si>
  <si>
    <t>レベル</t>
    <phoneticPr fontId="21"/>
  </si>
  <si>
    <t>加点数</t>
    <phoneticPr fontId="21"/>
  </si>
  <si>
    <t>個室8㎡/床で，かつ多床室6㎡/床以上。</t>
  </si>
  <si>
    <t>シングル15㎡以上，かつツイン22㎡以上。</t>
  </si>
  <si>
    <t>シングル22㎡以上，かつツイン32㎡以上。</t>
  </si>
  <si>
    <t>個室10㎡/床で，かつ多床室8㎡/床以上。</t>
  </si>
  <si>
    <t>シングル30㎡以上，かつツイン40㎡以上。</t>
  </si>
  <si>
    <t>ＯＡフロア等によりレイアウト変更に対応できるようになっており，かつＯＡ機器用コンセント容量が30ＶＡ/ｍ2以上となっている。加えて，通信に関しては，ビル内へ光ファイバーが引き込まれている。</t>
  </si>
  <si>
    <t>各住戸または各客室に電話，放送に対応した通信回線が引き込まれている。</t>
  </si>
  <si>
    <t>ＯＡフロア等によりレイアウト変更に対応できるようになっており，かつＯＡ機器用コンセント容量が30ＶＡ/ｍ2以上となっている。加えて，通信に関しては，レベル２をみたすとともに，2.5坪当たり１台の情報通信機器（電話１台，PC１台）を想定した通信回線が各階に引き込まれている。</t>
  </si>
  <si>
    <t>レベル２を満たすとともに，レベル４に満たないインターネットサービスが提供されている。</t>
  </si>
  <si>
    <t>ＯＡフロア等によりレイアウト変更に対応できるようになっており，かつＯＡ機器用コンセント容量が40ＶＡ/ｍ2以上となっている。加えて，通信に関しては，レベル３を満たすとともに，複数の通信事業者の回線がビル内へ引き込まれており，各階への通信事業者用配線スペースが別途，確保されている。</t>
  </si>
  <si>
    <t>ＯＡフロア等によりレイアウト変更に対応できるようになっており，かつＯＡ機器用コンセント容量が50ＶＡ/ｍ2以上となっている。加えて，通信に関しては，レベル４を満たすとともに，各階へはGigabit通信回線が引き込まれており，別途，フロア間通信のためのテナントEPSが確保されている。</t>
  </si>
  <si>
    <t>事務室の天井高2.5m以上となっており，かつ，すべての執務者が十分な屋外の情報を得られるように窓が設置されている。</t>
  </si>
  <si>
    <t>事務室の天井高2.7m以上となっており，かつ，すべての執務者が十分な屋外の情報を得られるように窓が設置されている。</t>
  </si>
  <si>
    <t>事務室の天井高2.9m以上となっており，かつ，すべての執務者が十分な屋外の情報を得られるように窓が設置されている。</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</si>
  <si>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1"/>
  </si>
  <si>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1"/>
  </si>
  <si>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1"/>
  </si>
  <si>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1"/>
  </si>
  <si>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1"/>
  </si>
  <si>
    <t>①　内装仕上げ：内壁面は防汚性の高い仕上げ方法や建材，塗装，コーティングを採用している。</t>
  </si>
  <si>
    <t>②　内装仕上げ：床面は防汚性の高い建材，塗装，コーティングを採用している。</t>
  </si>
  <si>
    <t>⑤　内装設計：風除室の１次扉と２次扉が同時に開かないように距離を確保し，または土砂などの進入を防ぐ為の設計をしている。</t>
  </si>
  <si>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1"/>
  </si>
  <si>
    <t>⑨　外装設計：害鳥（鳩・烏・椋鳥など）への糞害予防，対策を実施している。</t>
  </si>
  <si>
    <t>⑪　内装・外構設計：外構，管理用区域を含む動線は極力段差の無い（５mm程度）設計をしている。</t>
  </si>
  <si>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1"/>
  </si>
  <si>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1"/>
  </si>
  <si>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1"/>
  </si>
  <si>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1"/>
  </si>
  <si>
    <t>①　建物の延床面積に対し，十分なスペースの清掃員控え室の設置をしている。</t>
    <rPh sb="2" eb="4">
      <t>タテモノ</t>
    </rPh>
    <phoneticPr fontId="21"/>
  </si>
  <si>
    <t>②　建物の延床面積に対し，十分なスペースの清掃用具室と管理倉庫の設置をしている。</t>
    <rPh sb="2" eb="4">
      <t>タテモノ</t>
    </rPh>
    <rPh sb="27" eb="29">
      <t>カンリ</t>
    </rPh>
    <rPh sb="29" eb="31">
      <t>ソウコ</t>
    </rPh>
    <phoneticPr fontId="21"/>
  </si>
  <si>
    <t>③　清掃用具室に洗い場を設置し，安全な排水設備への排水経路を確保している。</t>
  </si>
  <si>
    <t>②　清掃用資材の洗い場を設置し，安全な排水設備への排水経路を確保している。
※病院建築物においては上記に加え，病床数に応じた清掃資材用の洗濯機を設置するスペースを確保している。</t>
  </si>
  <si>
    <t>④　衛生面からモップ，ウェスを洗濯・乾燥させるスペースを計画している。</t>
  </si>
  <si>
    <t>③　水を使用し清掃する箇所（トイレ，ゴミ庫，厨房）には２／１００程度の適度な勾配を計画している。</t>
  </si>
  <si>
    <t>⑤　廃棄物・リサイクル・粗大ゴミのスペースを建物の延床面積に対し，十分に確保しており，かつ，搬出が容易な計画となっている。</t>
    <rPh sb="22" eb="24">
      <t>タテモノ</t>
    </rPh>
    <phoneticPr fontId="21"/>
  </si>
  <si>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1"/>
  </si>
  <si>
    <t>⑦　床材に応じた清掃器具を想定し，それに合わせた数量，設置間隔で清掃作業用電源レイアウトの設計をしている。</t>
    <rPh sb="37" eb="39">
      <t>デンゲン</t>
    </rPh>
    <phoneticPr fontId="21"/>
  </si>
  <si>
    <t>⑧　外部ガラスや外壁，給排気口，照明など高所の維持管理作業を安全に行える設計をしている。</t>
  </si>
  <si>
    <t>⑦　外部ガラスや給排気口，照明など高所の維持管理作業を安全に行える設計をしている。</t>
  </si>
  <si>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1"/>
  </si>
  <si>
    <t>⑩　バルブ等の日常的に調整が必要な機器は，操作が容易な位置に設定されている。</t>
  </si>
  <si>
    <t>⑨　バルブ等の日常的に調整が必要な機器は，操作が容易な位置に設定されている。</t>
  </si>
  <si>
    <t>⑬　上記以外に維持管理用機能の確保を考慮したポイントを明確にし，実施している。</t>
  </si>
  <si>
    <t>⑫　上記以外に維持管理用機能の確保を考慮したポイントを明確にし，実施している。</t>
  </si>
  <si>
    <t>大掃除は，定期に行われていること。（毎学年３回）</t>
    <rPh sb="0" eb="3">
      <t>オオソウジ</t>
    </rPh>
    <rPh sb="5" eb="7">
      <t>テイキ</t>
    </rPh>
    <rPh sb="8" eb="9">
      <t>オコナ</t>
    </rPh>
    <rPh sb="18" eb="21">
      <t>マイガクネン</t>
    </rPh>
    <rPh sb="22" eb="23">
      <t>カイ</t>
    </rPh>
    <phoneticPr fontId="21"/>
  </si>
  <si>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1"/>
  </si>
  <si>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1"/>
  </si>
  <si>
    <t>充分な長さのエントランスマットを設置している。(外部，内部含む5ｍ以上)</t>
  </si>
  <si>
    <t>① トイレ，共用部，厨房，玄関マットは毎日，清掃を実施する事としている。</t>
  </si>
  <si>
    <t>① 環境ラベル取得製品の採用。(エコマーク，グリーンマークなど)</t>
  </si>
  <si>
    <t>① 環境ラベル取得製品を採用している。（エコマーク，グリーンマークなど）</t>
  </si>
  <si>
    <t>② 清掃用ケミカルのⅰ 床用保護剤，ⅱ 床用洗浄剤(カーペット含む)，ⅲ トイレ用洗浄剤，ⅳ ガラス用洗浄剤の4製品に関して，環境負荷と安全に配慮した製品を採用している。(判定表を参照)</t>
  </si>
  <si>
    <t>③ トイレ，共用部，厨房などの清掃に使用するケミカルの2種類以上についてMSDS（化学物質安全データシート）を保管している。</t>
  </si>
  <si>
    <t>手袋，メガネ，マスクなどの保護具の着用を促している。</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</si>
  <si>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</si>
  <si>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延床面積500㎡以下の建築物は
レベル3とする。
注）500㎡以下の建物は直接入力により，レベル3を選択してください。</t>
  </si>
  <si>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1"/>
  </si>
  <si>
    <t>建築基準法施行細則第8条（建築設備等の定期報告）に基づく換気設備定期点検を年1回実施し，改善している。
※特定行政庁が規定する特殊建築物に該当しない場合は取組み「0点」として評価する。</t>
  </si>
  <si>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1"/>
  </si>
  <si>
    <t>建築物環境衛生管理基準レベルの空調管理を実施し，記録を保管している。</t>
  </si>
  <si>
    <t>建築物環境衛生管理基準を満たし，6ヶ月に1回の点検および防除を行っている。</t>
    <rPh sb="18" eb="19">
      <t>ゲツ</t>
    </rPh>
    <rPh sb="21" eb="22">
      <t>カイ</t>
    </rPh>
    <rPh sb="23" eb="25">
      <t>テンケン</t>
    </rPh>
    <rPh sb="28" eb="30">
      <t>ボウジョ</t>
    </rPh>
    <rPh sb="31" eb="32">
      <t>オコナ</t>
    </rPh>
    <phoneticPr fontId="21"/>
  </si>
  <si>
    <t>各建築物に適用されている法律，規則，基準などに則り，ねずみ等の点検・防除を定期的に実施している。
※法律，規則，基準などがない建築物の場合は年1回のねずみ等の点検・防除を実施している。</t>
  </si>
  <si>
    <t>建築物環境衛生管理基準レベルのねずみ等の点検・防除を実施し，記録を保管している。</t>
  </si>
  <si>
    <t>「水道法」に基づき，受水槽の清掃や水質の外部検査を年1回実施し，改善している。
※直結式給水で受水槽がない場合は取組み「0点」として評価する。</t>
  </si>
  <si>
    <t>建築物環境衛生管理基準レベルの給水・給湯管理（飲用・炊事用・浴用等）を実施し，記録を保管している。</t>
  </si>
  <si>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1"/>
  </si>
  <si>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1"/>
  </si>
  <si>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1"/>
  </si>
  <si>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1"/>
  </si>
  <si>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1"/>
  </si>
  <si>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1"/>
  </si>
  <si>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1"/>
  </si>
  <si>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</si>
  <si>
    <t>③災害時，下水道が機能しないことを想定し，汚水（雑排水）の一時的貯留機能が確保できるピットを設けている。</t>
  </si>
  <si>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</si>
  <si>
    <t>耐震クラスB（大地震後に人命の安全および二次災害の防止が図られている。）または，動的解析を行った上で設計用水平震度KHを1.0以上としている。</t>
  </si>
  <si>
    <t>耐震クラスA（Bクラスに加えて，大きな補修をすることなく重要な機能が確保できる。）または，動的解析を行った上で設計用水平震度KHを1.5以上としている。</t>
  </si>
  <si>
    <t>①光ケーブル，メタルケーブル，携帯電話網，PHS網など，通信手段の多様化を図っている。</t>
  </si>
  <si>
    <t>②異なる電話局からの引き込みなどの，引き込みの2ルート化を図っている。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</si>
  <si>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</si>
  <si>
    <t>④災害時の有線電話，FAX，地域防災無線が設置されている。</t>
  </si>
  <si>
    <t>3.3ｍ以上，3.5ｍ未満</t>
  </si>
  <si>
    <t>3.1ｍ以上，3.3ｍ未満</t>
  </si>
  <si>
    <t>2.7ｍ以上，2.8ｍ未満</t>
  </si>
  <si>
    <t>3.5ｍ以上，3.7ｍ未満</t>
  </si>
  <si>
    <t>2.8ｍ以上，2.9ｍ未満</t>
  </si>
  <si>
    <t>3.7ｍ以上，3.9ｍ未満</t>
  </si>
  <si>
    <t>2.9ｍ以上，3.0ｍ未満</t>
  </si>
  <si>
    <t>構造部材，仕上げ材を痛めなければ修繕，更新できない。</t>
  </si>
  <si>
    <t>構造部材を痛めることなく修繕できるが，更新できない。</t>
  </si>
  <si>
    <t>将来用（更新用）スペース，ルートの確保されることなどによって，構造部材を痛めることなくほぼ全ての空調配管の更新・修繕ができる。 または中央式空調設備を持たない。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</si>
  <si>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</si>
  <si>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</si>
  <si>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</si>
  <si>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t>ISS ，設備階の設置などによって，仕上げ材を痛めることなく空調配管の更新・修繕が容易にできる。</t>
  </si>
  <si>
    <t>構造部材，仕上げ材を痛めることなく修繕，更新できる。</t>
  </si>
  <si>
    <t>構造部材だけでなく，仕上げ材を痛めることなく電気配線の更新・修繕ができる。</t>
  </si>
  <si>
    <t>主要設備機器の更新に対応したルート又はマシンハッチが確保されておらず，更新・修繕時に建物機能を維持できない状況。</t>
  </si>
  <si>
    <t>主要設備機器の更新に対応したルート又はマシンハッチが確保されているが，更新・修繕時に建物機能を維持できない状況。</t>
  </si>
  <si>
    <t>主要設備機器の更新に対応した仮設スペースが確保でき，かつ更新・修繕時に建物機能を維持できる状況。</t>
  </si>
  <si>
    <t>主要設備機器の更新に対応したルート又はマシンハッチが確保され，かつ更新・修繕時に建物機能を維持できる状況。</t>
  </si>
  <si>
    <t>内装に自然素材，伝統技術を多用している。
（CASBEE京都における「自然素材」とは，「木材，植物素材（竹，籐，麻，い草等），石材，土等でつくられた材料」と定義し，「伝統技術」とは京都で引き継がれてきた左官等の技術を指す。）</t>
    <phoneticPr fontId="21"/>
  </si>
  <si>
    <t>内装に地域産木材を多用している。</t>
    <phoneticPr fontId="21"/>
  </si>
  <si>
    <t>事・学・物・飲・会・工・病・ホ・住</t>
    <phoneticPr fontId="21"/>
  </si>
  <si>
    <t>建築物衛生法における特定建築物に該当する</t>
    <rPh sb="0" eb="3">
      <t>ケンチクブツ</t>
    </rPh>
    <rPh sb="3" eb="6">
      <t>エイセイホウ</t>
    </rPh>
    <rPh sb="10" eb="12">
      <t>トクテイ</t>
    </rPh>
    <rPh sb="12" eb="15">
      <t>ケンチクブツ</t>
    </rPh>
    <rPh sb="16" eb="18">
      <t>ガイトウ</t>
    </rPh>
    <phoneticPr fontId="21"/>
  </si>
  <si>
    <t>「低炭素景観の創出」の関連項目</t>
    <rPh sb="1" eb="4">
      <t>テイタンソ</t>
    </rPh>
    <rPh sb="4" eb="6">
      <t>ケイカン</t>
    </rPh>
    <rPh sb="7" eb="9">
      <t>ソウシュツ</t>
    </rPh>
    <rPh sb="11" eb="13">
      <t>カンレン</t>
    </rPh>
    <rPh sb="13" eb="15">
      <t>コウモク</t>
    </rPh>
    <phoneticPr fontId="21"/>
  </si>
  <si>
    <t>周辺のまちなみや景観に対して配慮が行われておらず，まちなみや景観から突出し，調和していない。</t>
    <phoneticPr fontId="21"/>
  </si>
  <si>
    <t>-</t>
    <phoneticPr fontId="21"/>
  </si>
  <si>
    <t>（該当するレベルなし）</t>
    <phoneticPr fontId="21"/>
  </si>
  <si>
    <t>京都市の景観計画区域にあり，届出が行われている。または，届出の義務はないが，標準的な配慮が行われている。</t>
    <phoneticPr fontId="21"/>
  </si>
  <si>
    <t>景観地区，風致地区にあり，認定または許可を得ている。</t>
    <phoneticPr fontId="21"/>
  </si>
  <si>
    <t>伝統的建造物保存地区，歴史的修景地区等，様式が定められた地区にあり，基準に適合している。</t>
    <phoneticPr fontId="21"/>
  </si>
  <si>
    <t>「低炭素景観の創出」に寄与する関連項目の過半数について取り組んでいる。</t>
    <rPh sb="1" eb="4">
      <t>テイタンソ</t>
    </rPh>
    <rPh sb="4" eb="6">
      <t>ケイカン</t>
    </rPh>
    <rPh sb="7" eb="9">
      <t>ソウシュツ</t>
    </rPh>
    <rPh sb="11" eb="13">
      <t>キヨ</t>
    </rPh>
    <rPh sb="15" eb="17">
      <t>カンレン</t>
    </rPh>
    <rPh sb="17" eb="19">
      <t>コウモク</t>
    </rPh>
    <rPh sb="20" eb="23">
      <t>カハンスウ</t>
    </rPh>
    <rPh sb="27" eb="28">
      <t>ト</t>
    </rPh>
    <rPh sb="29" eb="30">
      <t>ク</t>
    </rPh>
    <phoneticPr fontId="21"/>
  </si>
  <si>
    <t>Q3/3.1（地域性への配慮，快適性への向上）がレベル5である。</t>
    <rPh sb="7" eb="9">
      <t>チイキ</t>
    </rPh>
    <rPh sb="9" eb="10">
      <t>セイ</t>
    </rPh>
    <rPh sb="12" eb="14">
      <t>ハイリョ</t>
    </rPh>
    <rPh sb="15" eb="18">
      <t>カイテキセイ</t>
    </rPh>
    <rPh sb="20" eb="22">
      <t>コウジョウ</t>
    </rPh>
    <phoneticPr fontId="21"/>
  </si>
  <si>
    <t>レベル</t>
    <phoneticPr fontId="21"/>
  </si>
  <si>
    <t>「低炭素景観の創出」に寄与する関連項目の取組</t>
    <phoneticPr fontId="21"/>
  </si>
  <si>
    <t>該当</t>
    <rPh sb="0" eb="2">
      <t>ガイトウ</t>
    </rPh>
    <phoneticPr fontId="21"/>
  </si>
  <si>
    <t>景観要素として評価する内容</t>
    <phoneticPr fontId="21"/>
  </si>
  <si>
    <t>低炭素景観との関係性</t>
    <phoneticPr fontId="21"/>
  </si>
  <si>
    <t>条件</t>
    <rPh sb="0" eb="2">
      <t>ジョウケン</t>
    </rPh>
    <phoneticPr fontId="21"/>
  </si>
  <si>
    <t>Q1/3.1.3</t>
    <phoneticPr fontId="21"/>
  </si>
  <si>
    <t>昼光利用設備</t>
    <phoneticPr fontId="21"/>
  </si>
  <si>
    <t>坪庭や軒，縁など</t>
  </si>
  <si>
    <t>伝統的意匠要素を形だけではなく，環境制御装置として評価（環境制御と意匠要素の融合を評価）</t>
    <phoneticPr fontId="21"/>
  </si>
  <si>
    <t>推奨内容として挙げている昼光利用設備を，１種類以上採用している。</t>
  </si>
  <si>
    <t>昼光制御</t>
    <phoneticPr fontId="21"/>
  </si>
  <si>
    <t>格子ルーバーや簾状スクリーン，軒</t>
  </si>
  <si>
    <t>同上</t>
    <rPh sb="0" eb="2">
      <t>ドウジョウ</t>
    </rPh>
    <phoneticPr fontId="21"/>
  </si>
  <si>
    <t>レベル３以上で，かつ，推奨内容として挙げている昼光制御設備を，１種類以上採用している。</t>
  </si>
  <si>
    <t>Q3/1</t>
    <phoneticPr fontId="21"/>
  </si>
  <si>
    <t>生物環境の
保全と創出</t>
    <phoneticPr fontId="21"/>
  </si>
  <si>
    <t>既存樹木の保全，緑化の量・質（自生種等）</t>
    <phoneticPr fontId="21"/>
  </si>
  <si>
    <t>既存の自然環境の保全は都市の持続可能性を高め低炭素化に貢献するとともに，都市景観としても評価可能</t>
    <phoneticPr fontId="21"/>
  </si>
  <si>
    <t>レベル３以上で，かつ，評価項目Ⅰ，評価項目Ⅱ，評価項目Ⅳの1)または2)のうち2項目以上について取り組んでいる場合。</t>
  </si>
  <si>
    <t>Q3/3.2</t>
    <phoneticPr fontId="21"/>
  </si>
  <si>
    <t>敷地内温熱
環境の向上</t>
    <phoneticPr fontId="21"/>
  </si>
  <si>
    <t>通風等を考慮した空地の確保，緑化等</t>
    <phoneticPr fontId="21"/>
  </si>
  <si>
    <t>敷地内温熱環境の改善措置が形となってあらわれたものを評価</t>
    <phoneticPr fontId="21"/>
  </si>
  <si>
    <t>レベル４以上の場合</t>
    <phoneticPr fontId="21"/>
  </si>
  <si>
    <t>レベル４以上の場合</t>
    <phoneticPr fontId="21"/>
  </si>
  <si>
    <t>LR3/2.2</t>
    <phoneticPr fontId="21"/>
  </si>
  <si>
    <t>温熱環境悪化
の改善</t>
    <phoneticPr fontId="21"/>
  </si>
  <si>
    <t>通風のための空地確保，緑化，軒・庇による日射遮蔽，保水・浸透性の確保，室外機による廃熱の配慮等</t>
    <phoneticPr fontId="21"/>
  </si>
  <si>
    <t>周辺温熱環境の改善措置が形や材料となってあらわれたものを評価。
空調等の室外機は，景観上統御すべき要素であるが，その統御を，見え方だけでなく，周囲の空気環境という点からも評価。また，周囲の自然環境利用促進にも繋がる。</t>
    <phoneticPr fontId="21"/>
  </si>
  <si>
    <t>LR3/3.3.2</t>
    <phoneticPr fontId="21"/>
  </si>
  <si>
    <t>外壁による
グレア対策</t>
    <phoneticPr fontId="21"/>
  </si>
  <si>
    <t>格子状ルーバー等によるガラス面の反射防止，自然素材使用による外壁の反射防止</t>
    <phoneticPr fontId="21"/>
  </si>
  <si>
    <t>光害防止に伝統的意匠要素や自然素材を用いたものを景観及び環境両面から評価</t>
    <phoneticPr fontId="21"/>
  </si>
  <si>
    <t>レベル３以上で，かつ，推奨内容の取組みを１以上実施している場合</t>
  </si>
  <si>
    <t>該当項目数＝</t>
    <rPh sb="0" eb="2">
      <t>ガイトウ</t>
    </rPh>
    <rPh sb="2" eb="4">
      <t>コウモク</t>
    </rPh>
    <rPh sb="4" eb="5">
      <t>スウ</t>
    </rPh>
    <phoneticPr fontId="21"/>
  </si>
  <si>
    <t>事・学・物・飲・会・病・ホ・工・住</t>
    <phoneticPr fontId="21"/>
  </si>
  <si>
    <t>格子状ルーバーや簾状スクリーンによりガラス面等の反射光を抑制している，または外壁に反射率の低い自然素材を採用している等の推奨内容の取組みを，１以上実施している。</t>
    <rPh sb="0" eb="2">
      <t>コウシ</t>
    </rPh>
    <rPh sb="2" eb="3">
      <t>ジョウ</t>
    </rPh>
    <rPh sb="8" eb="9">
      <t>スダレ</t>
    </rPh>
    <rPh sb="9" eb="10">
      <t>ジョウ</t>
    </rPh>
    <rPh sb="21" eb="22">
      <t>メン</t>
    </rPh>
    <rPh sb="22" eb="23">
      <t>ナド</t>
    </rPh>
    <rPh sb="24" eb="27">
      <t>ハンシャコウ</t>
    </rPh>
    <rPh sb="28" eb="30">
      <t>ヨクセイ</t>
    </rPh>
    <rPh sb="38" eb="40">
      <t>ガイヘキ</t>
    </rPh>
    <rPh sb="41" eb="44">
      <t>ハンシャリツ</t>
    </rPh>
    <rPh sb="45" eb="46">
      <t>ヒク</t>
    </rPh>
    <rPh sb="47" eb="49">
      <t>シゼン</t>
    </rPh>
    <rPh sb="49" eb="51">
      <t>ソザイ</t>
    </rPh>
    <rPh sb="52" eb="54">
      <t>サイヨウ</t>
    </rPh>
    <rPh sb="58" eb="59">
      <t>ナド</t>
    </rPh>
    <rPh sb="60" eb="62">
      <t>スイショウ</t>
    </rPh>
    <rPh sb="65" eb="67">
      <t>トリク</t>
    </rPh>
    <rPh sb="73" eb="75">
      <t>ジッシ</t>
    </rPh>
    <phoneticPr fontId="21"/>
  </si>
  <si>
    <t>I 地域固有の風土，歴史，文化の継承
＋
II 空間・施設機能の提供による地域貢献</t>
  </si>
  <si>
    <t>伝統的な行事の存続に理解を示し，例えば地蔵盆や地域の祭等が開催できるスペースを地域に提供している。</t>
    <phoneticPr fontId="21"/>
  </si>
  <si>
    <t>地域住民の参加性
設計プロセスにおいて，地域住民とワークショップを行うなどの取組みにより，地域の意向が反映されている。</t>
    <rPh sb="0" eb="2">
      <t>チイキ</t>
    </rPh>
    <rPh sb="2" eb="4">
      <t>ジュウミン</t>
    </rPh>
    <rPh sb="5" eb="8">
      <t>サンカセイ</t>
    </rPh>
    <phoneticPr fontId="21"/>
  </si>
  <si>
    <t>生物環境の保全と創出に関して配慮に欠け，取り組みが不十分である。(評価ポイント0～3)</t>
    <rPh sb="2" eb="4">
      <t>カンキョウ</t>
    </rPh>
    <phoneticPr fontId="21"/>
  </si>
  <si>
    <t>生物環境の保全と創出に関して配慮されているが，取り組みが十分とはいえない。(評価ポイント4～6)</t>
  </si>
  <si>
    <t>生物環境の保全と創出に関して配慮されており，標準的な取り組みが行われている。(評価ポイント7～9)</t>
  </si>
  <si>
    <t>生物環境の保全と創出に関して配慮されており，比較的多くの取り組みが行われている。(評価ポイント10～12)</t>
  </si>
  <si>
    <t>生物環境の保全と創出に関して十分配慮されており，充実した取り組みが行われている。(評価ポイント13以上）</t>
  </si>
  <si>
    <t>　外構緑化指数が，20％以上50％未満を示す規模の外構緑化を行っている。(2ポイント)</t>
  </si>
  <si>
    <t>　外構緑化指数が，50%以上を示す規模の外構緑化を行っている。 (3ポイント)</t>
  </si>
  <si>
    <t>　建物緑化指数が，20％以上を示す規模の建築物の緑化を行っている。 (2ポイント)</t>
  </si>
  <si>
    <t>地域性への配慮，快適性の向上</t>
    <rPh sb="0" eb="3">
      <t>チイキセイ</t>
    </rPh>
    <rPh sb="5" eb="7">
      <t>ハイリョ</t>
    </rPh>
    <rPh sb="8" eb="11">
      <t>カイテキセイ</t>
    </rPh>
    <rPh sb="12" eb="14">
      <t>コウジョウ</t>
    </rPh>
    <phoneticPr fontId="21"/>
  </si>
  <si>
    <t>アルコーブ・ピロティ・庇などの空間を設けるなどの建築的な工夫を取入れて，雨宿り，待合わせに供する等，都市空間の活動上のアメニティ向上に貢献している。
または，</t>
  </si>
  <si>
    <t>広場や歩道状空地，路地などのスペースを確保し，憩いの場に供するなど地域の活動上のアメニティ向上に貢献している。</t>
  </si>
  <si>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</si>
  <si>
    <t>例えば，環境教育を地域住民・NPO・企業と連携して行えるような地域に開放できる室があり，地域の生態系，環境の保全，エコスクール等について学習できる場として貢献している</t>
  </si>
  <si>
    <t>中庭やテラス，バルコニー，サンルーム，アルコーブ，屋根付広場，風光ボイド，アトリウム，等のように風や光が通り抜ける開放的な空間をうまく内部空間と連続させている。
または，</t>
  </si>
  <si>
    <t>玄関廻り，バルコニー廻り等のプライバシーと公共性の接点の部分に，風光ボイド，花台，パーゴラ，奥行きのあるバルコニー等のしつらえによって，生活感が滲み出るような豊かな中間領域を形成している。</t>
  </si>
  <si>
    <t>建物外部の広場などのスペースにおいて，視線を遮らない様な樹木の配置，夜間照明の設置，防犯カメラの設置，防犯に役立つ窓の配置などを行い，防犯性に配慮している。
または，</t>
  </si>
  <si>
    <t>広場や歩道状空地がない場合，建物周囲において，視線の行き届かない袋小路や通路などの死角空間を作らないようにし，また防犯に役立つ窓の配置をするなどして，防犯性に配慮している。</t>
  </si>
  <si>
    <t>または，
敷地周囲に境界壁等を設ける場合，視線を遮るような連続した塀等を作らず，見通しの良いフェンスや背の低い生垣等を設けて防犯性・防災性に配慮している。</t>
  </si>
  <si>
    <t>7）建物利用者等の参加性
施設利用者満足度評価（POE）の実施，コーポラティブ住宅等，設計プロセスに建物利用者が参加している。</t>
  </si>
  <si>
    <t>または
居住者や入居者が植栽管理・清掃活動，運用計画の立案を直接行うなど，建物の維持管理に対して居住者が参加している。</t>
  </si>
  <si>
    <t>I 敷地内の歩行者空間等へ風を導き，暑熱環境を緩和する</t>
  </si>
  <si>
    <t>空地率が，
　　・40％以上60％未満の場合　 (1ポイント)
　　・60％以上80％未満の場合　 (2ポイント)
　　・80％以上 (3ポイント)</t>
  </si>
  <si>
    <t>II夏期における日陰を形成し，敷地内歩行者空間等の暑熱環境を緩和する</t>
  </si>
  <si>
    <t>中・高木，ピロティ等の水平投影面積率が，
　　・10％以上20％未満の場合　 (1ポイント)
　　・20％以上30％未満の場合　 (2ポイント)
　　・30％以上の場合 (3ポイント)</t>
  </si>
  <si>
    <t>III敷地内に緑地や水面等を確保し，敷地内歩行者空間等の暑熱環境を緩和する</t>
  </si>
  <si>
    <t>緑被率，水被率，中・高木の水平投影面積率の合計が，
　　・10％以上20％未満の場合  (1ポイント)
　　・20％以上30％未満の場合 (2ポイント)
　　・30％以上の場合 (3ポイント)</t>
  </si>
  <si>
    <t>舗装面積率が，
　　・20％以上30％未満の場合 (1ポイント)
　　・10％以上20％未満の場合 (2ポイント)
　　・10％未満の場合　 (3ポイント)</t>
  </si>
  <si>
    <t>IV建築外装材料に配慮し，敷地内歩行空間等の暑熱環境を緩和する</t>
  </si>
  <si>
    <t>　　・人が出入りできる屋上があり，一部緑化している場合(2ポイント)
　　・人が出入りできる屋上を広範囲で緑化している場合(3ポイント)</t>
  </si>
  <si>
    <t>外壁面対策面積率が，
　　・10％未満の場合  (1ポイント)
　　・10％以上20％未満の場合 (2ポイント)
　　・20％以上の場合 (3ポイント)</t>
  </si>
  <si>
    <t>V建築設備に伴う排熱の位置等に配慮し，敷地内歩行者空間等の暑熱環境を緩和する</t>
  </si>
  <si>
    <t>1）歴史的な建築空間等の保全
歴史的な建築内外部空間や遺構を保存，復元，再生し，地域文化に貢献している。</t>
    <phoneticPr fontId="21"/>
  </si>
  <si>
    <t>2）地域性のある材料の使用
建物の構造材や内装材又は外構に地域性のある材料を一部使用している。</t>
    <phoneticPr fontId="21"/>
  </si>
  <si>
    <t>厚さが20mm以上の吹付け硬質ｳﾚﾀﾝﾌｫｰﾑ断熱材その他これに相当する断熱性能を使用し，且つ複層ガラスを使用している</t>
    <rPh sb="45" eb="46">
      <t>カ</t>
    </rPh>
    <phoneticPr fontId="21"/>
  </si>
  <si>
    <t>厚さが40mm以上の吹付け硬質ｳﾚﾀﾝﾌｫｰﾑ断熱材その他これに相当する断熱性能を使用し，且つ複層ガラスを使用している</t>
    <rPh sb="45" eb="46">
      <t>カ</t>
    </rPh>
    <phoneticPr fontId="21"/>
  </si>
  <si>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1"/>
  </si>
  <si>
    <t>厚さが20mm以上の吹付け硬質ｳﾚﾀﾝﾌｫｰﾑ断熱材その他これに相当する断熱性能を使用し，且つ低放射複層ガラスを使用している</t>
    <rPh sb="45" eb="46">
      <t>カ</t>
    </rPh>
    <phoneticPr fontId="21"/>
  </si>
  <si>
    <t>厚さが40mm以上の吹付け硬質ｳﾚﾀﾝﾌｫｰﾑ断熱材その他これに相当する断熱性能を使用し，且つ低放射複層ガラスを使用している</t>
    <rPh sb="45" eb="46">
      <t>カ</t>
    </rPh>
    <phoneticPr fontId="21"/>
  </si>
  <si>
    <t>高性能熱反ガラスを使用し，且つ水平庇１．０ｍ以上が計画されている。</t>
    <rPh sb="9" eb="11">
      <t>シヨウ</t>
    </rPh>
    <rPh sb="13" eb="14">
      <t>カ</t>
    </rPh>
    <rPh sb="15" eb="17">
      <t>スイヘイ</t>
    </rPh>
    <rPh sb="17" eb="18">
      <t>ヒサシ</t>
    </rPh>
    <rPh sb="25" eb="27">
      <t>ケイカク</t>
    </rPh>
    <phoneticPr fontId="21"/>
  </si>
  <si>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1"/>
  </si>
  <si>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1"/>
  </si>
  <si>
    <t>レベル３に対する，採光・通風が行えない。</t>
    <rPh sb="5" eb="6">
      <t>タイ</t>
    </rPh>
    <phoneticPr fontId="21"/>
  </si>
  <si>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1"/>
  </si>
  <si>
    <t>教室・専有部のほぼ全体（80%以上）が，外皮に２方向面しており，有効な採光・通風が確保されている。</t>
    <rPh sb="0" eb="2">
      <t>キョウシツ</t>
    </rPh>
    <rPh sb="3" eb="5">
      <t>センユウ</t>
    </rPh>
    <rPh sb="5" eb="6">
      <t>ブ</t>
    </rPh>
    <phoneticPr fontId="21"/>
  </si>
  <si>
    <t>評価する取組みのうち，何れかの手法が有効性を検討した上で採用されている。（但し，モニュメントの計画を除く。）</t>
  </si>
  <si>
    <t>上記の他，換気ボイドなど，効果を促進させる建築的工夫がなされ，その影響範囲が，建物の過半（50%以上）に及ぶもの</t>
    <rPh sb="0" eb="1">
      <t>ジョウ</t>
    </rPh>
    <rPh sb="39" eb="41">
      <t>タテモノ</t>
    </rPh>
    <phoneticPr fontId="21"/>
  </si>
  <si>
    <t>レベル４に加え，利用量が15MJ/㎡・年以上となる場合。</t>
    <rPh sb="8" eb="10">
      <t>リヨウ</t>
    </rPh>
    <rPh sb="10" eb="11">
      <t>リョウ</t>
    </rPh>
    <rPh sb="19" eb="20">
      <t>トシ</t>
    </rPh>
    <rPh sb="20" eb="22">
      <t>イジョウ</t>
    </rPh>
    <rPh sb="25" eb="27">
      <t>バアイ</t>
    </rPh>
    <phoneticPr fontId="21"/>
  </si>
  <si>
    <t>上記の工夫が，建物の大半（80%以上）に及ぶもの</t>
    <rPh sb="0" eb="1">
      <t>ジョウ</t>
    </rPh>
    <rPh sb="7" eb="9">
      <t>タテモノ</t>
    </rPh>
    <phoneticPr fontId="21"/>
  </si>
  <si>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1"/>
  </si>
  <si>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</si>
  <si>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1"/>
  </si>
  <si>
    <t>その他：その他，自然を活用した有効なシステムが計画されていること。</t>
    <rPh sb="2" eb="3">
      <t>タ</t>
    </rPh>
    <phoneticPr fontId="21"/>
  </si>
  <si>
    <t>[3.1a，3.1bによる設備システムの高効率化のスコア]が2.0点未満</t>
  </si>
  <si>
    <t>[3,1a，3.1bによる設備システムの高効率化のスコア]が2.0点以上</t>
  </si>
  <si>
    <t>レベル３に加え，空調対象面積の50％以上に全熱交換器を採用</t>
  </si>
  <si>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1"/>
  </si>
  <si>
    <t>＜７種類の制御方式＞
カード・センサー等による在室検知制御，明るさ感知による自動点滅制御，適正照度制御（初期照度補正），タイムスケジュール制御，昼光利用照明制御，ゾーニング制御，局所制御</t>
  </si>
  <si>
    <t>レベル３に加え，７種類のうち２種類以上採用されている。</t>
  </si>
  <si>
    <t>レベル３に加え，７種類のうち４種類以上採用されている。</t>
  </si>
  <si>
    <t>建物で消費される各種エネルギー消費量を年間に渡って把握し，消費原単位等を用いてのベンチマーク比較が行なえること。</t>
  </si>
  <si>
    <t>レベル３に加え，主要な用途別エネルギー消費の内訳※1) を把握して，消費特性の傾向把握・分析を行い，妥当性が確認できること。</t>
  </si>
  <si>
    <t>エネルギー消費に関する表示機器，負荷低減装置等を採用している。</t>
  </si>
  <si>
    <t>レベル４に加え，主要な設備システムに関しては，システム効率※2) の評価を行うことにより，システムの性能の評価が行えること。</t>
  </si>
  <si>
    <t>エネルギーを管理する仕組みがあり，それにより消費エネルギーの削減が可能である取組みがなされている。</t>
  </si>
  <si>
    <t xml:space="preserve">※1) 概ね，エネルギー消費全体の半分以上の用途構成の把握が可能なモニタリングが計画されていること。
</t>
  </si>
  <si>
    <t>※2) 概ね4種類以上の効率評価を行えること。また，空調や照明，換気など系統数が多い場合は，代表系統での評価から全体の推定を行なうことも可</t>
  </si>
  <si>
    <t>削減熱量，エネルギー量</t>
  </si>
  <si>
    <t>昼光利用，人感センサーなどによる削減エネルギー量</t>
  </si>
  <si>
    <t>※効率評価に関しては，機器/器具付随の制御用センサーのデータを用いた評価も可とする。</t>
  </si>
  <si>
    <t>運用管理の組織，体制，管理方針が計画されている。</t>
  </si>
  <si>
    <t>レベル２に加えて，運用管理体制が組織化され，責任者が指名されている。</t>
  </si>
  <si>
    <t>レベル３に加えて年間エネルギー消費量の計算に基づく，建物全体のエネルギー消費量の目標値が計画され，建築主に提出されている。</t>
  </si>
  <si>
    <t>レベル３に加え，省エネに関する住まい方について一般的な説明がすまい手になされている。</t>
    <rPh sb="5" eb="6">
      <t>クワ</t>
    </rPh>
    <phoneticPr fontId="21"/>
  </si>
  <si>
    <t>レベル４に加えて，運用時の定期的な設備性能検証，不具合是正等の具体的な実施方策が計画されている。（コミッショニング）</t>
  </si>
  <si>
    <t>レベル３に加え，当該住宅に採用された設備や仕様に関して，個別の建物・生活スタイルごとに対応した適切な説明がすまい手になされている。</t>
    <rPh sb="5" eb="6">
      <t>クワ</t>
    </rPh>
    <phoneticPr fontId="21"/>
  </si>
  <si>
    <t>主要構造部に「持続可能な森林から産出された木材」を使用している。</t>
    <phoneticPr fontId="21"/>
  </si>
  <si>
    <t>「独自システム」の評価に寄与する関連項目の取組</t>
    <rPh sb="1" eb="3">
      <t>ドクジ</t>
    </rPh>
    <rPh sb="9" eb="11">
      <t>ヒョウカ</t>
    </rPh>
    <phoneticPr fontId="21"/>
  </si>
  <si>
    <t>事・学・物・飲・会・病・ホ・工・住</t>
    <phoneticPr fontId="21"/>
  </si>
  <si>
    <t>主要構造部が木造躯体である場合で，「持続可能な森林から産出された木材」を使用しており，うち地域産木材を使用している。</t>
    <rPh sb="45" eb="47">
      <t>チイキ</t>
    </rPh>
    <rPh sb="47" eb="48">
      <t>サン</t>
    </rPh>
    <rPh sb="48" eb="50">
      <t>モクザイ</t>
    </rPh>
    <rPh sb="51" eb="53">
      <t>シヨウ</t>
    </rPh>
    <phoneticPr fontId="21"/>
  </si>
  <si>
    <t>事・学・物・飲・会・病・ホ・工・住</t>
    <phoneticPr fontId="21"/>
  </si>
  <si>
    <t>「持続可能な森林から産出された木材」を用いた場合は，「リサイクル資材を1種類用いている」として取り扱う。</t>
    <phoneticPr fontId="21"/>
  </si>
  <si>
    <t>「持続可能な森林から産出された木材」のうち，地域産木材を使用している。</t>
    <phoneticPr fontId="21"/>
  </si>
  <si>
    <t>「持続可能な森林から産出された木材」のうち，地域産木材を使用している。</t>
    <phoneticPr fontId="21"/>
  </si>
  <si>
    <t>節水コマなどに加えて，省水型機器（例えば擬音，節水型便器など）などを用いている。</t>
  </si>
  <si>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1"/>
  </si>
  <si>
    <t>主要構造部が非木造躯体（RC造/SRC造/S造）である場合で，評価する取組み表の評価ポイントの合計値が1ポイント以上</t>
    <rPh sb="56" eb="58">
      <t>イジョウ</t>
    </rPh>
    <phoneticPr fontId="21"/>
  </si>
  <si>
    <t>主要構造部が非木造躯体（RC造/SRC造/S造）である場合で，評価する取組み表の評価ポイントの合計値が3ポイント以上</t>
    <rPh sb="56" eb="58">
      <t>イジョウ</t>
    </rPh>
    <phoneticPr fontId="21"/>
  </si>
  <si>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1"/>
  </si>
  <si>
    <t>プレストレスコンクリートの使用　（部材断面を小さくする事で，使用材料の削減に寄与）</t>
  </si>
  <si>
    <t>レベル５は，スコアシートに採用したリサイクル資材名を記述</t>
    <rPh sb="13" eb="15">
      <t>サイヨウ</t>
    </rPh>
    <rPh sb="22" eb="24">
      <t>シザイ</t>
    </rPh>
    <rPh sb="24" eb="25">
      <t>メイ</t>
    </rPh>
    <rPh sb="26" eb="28">
      <t>キジュツ</t>
    </rPh>
    <phoneticPr fontId="21"/>
  </si>
  <si>
    <t>該当資材がグリーン購入法における「特定調達品目」または「エコマーク商品」に認定されている場合，採用とみなす。</t>
  </si>
  <si>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1"/>
  </si>
  <si>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1"/>
  </si>
  <si>
    <t>レベル３以上は，スコアシートに採用したリサイクル資材名を記述</t>
    <rPh sb="4" eb="6">
      <t>イジョウ</t>
    </rPh>
    <rPh sb="15" eb="17">
      <t>サイヨウ</t>
    </rPh>
    <rPh sb="24" eb="26">
      <t>シザイ</t>
    </rPh>
    <rPh sb="26" eb="27">
      <t>メイ</t>
    </rPh>
    <rPh sb="28" eb="30">
      <t>キジュツ</t>
    </rPh>
    <phoneticPr fontId="21"/>
  </si>
  <si>
    <t>エコマークを取得した間伐材，再・未利用材などを使用した製品（エコマーク商品類型115）</t>
  </si>
  <si>
    <t>エコマークを取得した建築製品（外装，外溝関係用資材）（エコマーク商品類型137）</t>
  </si>
  <si>
    <t>持続可能な森林から産出された木材を使用しているが，使用比率10％未満。</t>
  </si>
  <si>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</si>
  <si>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</si>
  <si>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</si>
  <si>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内装材と設備が錯綜せず，解体・改修・更新の際に，容易にそれぞれを取り外すことができる。</t>
  </si>
  <si>
    <t>構造部材あるいはそのユニットが容易に分解でき，再利用できる。</t>
  </si>
  <si>
    <t>消火設備が全く無い場合やスプリンクラーのみの場合，ガス消火設備がない場合は対象外とする
消火器は対象外とする</t>
  </si>
  <si>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1"/>
  </si>
  <si>
    <t>ODP＝0.01未満かつ，GWPが低い発泡剤（GWP（100年値）が50未満）を用いた断熱材等を使用している。</t>
  </si>
  <si>
    <t>冷媒ガスを使用していない場合は，評価対象外</t>
  </si>
  <si>
    <t>自然冷媒・新冷凍システム（ODP=0）を使用し，かつGWP50未満の冷媒を使用している。</t>
  </si>
  <si>
    <t>通信機械室，無線機室，電話交換室，磁気ﾃﾞｨｽｸ室，電算機室，ﾃﾚｯｸｽ室，電話局切換室，通信機調整室，ﾃﾞｰﾀﾌﾟﾘﾝﾄ室</t>
  </si>
  <si>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</si>
  <si>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</si>
  <si>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</si>
  <si>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重要文化財，美術品保管庫，展覧室，展示室</t>
  </si>
  <si>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1"/>
  </si>
  <si>
    <t>主要構造部が木造躯体の時は評価対象外とする。
ただし，主要構造部に「持続可能な森林から産出された木材」を使用している場合は評価を行う。</t>
    <rPh sb="0" eb="2">
      <t>シュヨウ</t>
    </rPh>
    <rPh sb="2" eb="4">
      <t>コウゾウ</t>
    </rPh>
    <rPh sb="4" eb="5">
      <t>ブ</t>
    </rPh>
    <rPh sb="6" eb="8">
      <t>モクゾウ</t>
    </rPh>
    <rPh sb="8" eb="10">
      <t>クタイ</t>
    </rPh>
    <rPh sb="11" eb="12">
      <t>トキ</t>
    </rPh>
    <rPh sb="13" eb="15">
      <t>ヒョウカ</t>
    </rPh>
    <rPh sb="15" eb="17">
      <t>タイショウ</t>
    </rPh>
    <rPh sb="17" eb="18">
      <t>ガイ</t>
    </rPh>
    <rPh sb="27" eb="29">
      <t>シュヨウ</t>
    </rPh>
    <rPh sb="29" eb="31">
      <t>コウゾウ</t>
    </rPh>
    <rPh sb="31" eb="32">
      <t>ブ</t>
    </rPh>
    <rPh sb="34" eb="36">
      <t>ジゾク</t>
    </rPh>
    <rPh sb="36" eb="38">
      <t>カノウ</t>
    </rPh>
    <rPh sb="39" eb="41">
      <t>シンリン</t>
    </rPh>
    <rPh sb="43" eb="45">
      <t>サンシュツ</t>
    </rPh>
    <rPh sb="48" eb="50">
      <t>モクザイ</t>
    </rPh>
    <rPh sb="52" eb="54">
      <t>シヨウ</t>
    </rPh>
    <rPh sb="58" eb="60">
      <t>バアイ</t>
    </rPh>
    <rPh sb="61" eb="63">
      <t>ヒョウカ</t>
    </rPh>
    <rPh sb="64" eb="65">
      <t>オコナ</t>
    </rPh>
    <phoneticPr fontId="21"/>
  </si>
  <si>
    <t>主要構造部が非木造躯体（RC造/SRC造/S造）である場合で，評価する取組み表の評価ポイントの合計値が5ポイント以上または，主要構造部が木造躯体である場合で，主要構造部に「持続可能な森林から産出された木材」を使用している。</t>
    <phoneticPr fontId="21"/>
  </si>
  <si>
    <t>主要構造部が木造躯体である。</t>
    <phoneticPr fontId="21"/>
  </si>
  <si>
    <t>主要構造部にリサイクル資材または持続可能な森林から産出された木材を用いている。</t>
    <rPh sb="0" eb="2">
      <t>シュヨウ</t>
    </rPh>
    <rPh sb="2" eb="4">
      <t>コウゾウ</t>
    </rPh>
    <rPh sb="4" eb="5">
      <t>ブ</t>
    </rPh>
    <rPh sb="11" eb="13">
      <t>シザイ</t>
    </rPh>
    <rPh sb="16" eb="18">
      <t>ジゾク</t>
    </rPh>
    <rPh sb="18" eb="20">
      <t>カノウ</t>
    </rPh>
    <rPh sb="21" eb="23">
      <t>シンリン</t>
    </rPh>
    <rPh sb="25" eb="27">
      <t>サンシュツ</t>
    </rPh>
    <rPh sb="30" eb="32">
      <t>モクザイ</t>
    </rPh>
    <rPh sb="33" eb="34">
      <t>モチ</t>
    </rPh>
    <phoneticPr fontId="21"/>
  </si>
  <si>
    <t>リサイクル資材の種類と採用した部位</t>
    <rPh sb="5" eb="7">
      <t>シザイ</t>
    </rPh>
    <rPh sb="8" eb="10">
      <t>シュルイ</t>
    </rPh>
    <rPh sb="11" eb="13">
      <t>サイヨウ</t>
    </rPh>
    <rPh sb="15" eb="17">
      <t>ブイ</t>
    </rPh>
    <phoneticPr fontId="21"/>
  </si>
  <si>
    <t>木材を使用していない。</t>
    <phoneticPr fontId="21"/>
  </si>
  <si>
    <t>ライフサイクルCO2排出率が，一般的な建物（参照値）に対して１２５％以上</t>
    <rPh sb="19" eb="21">
      <t>タテモノ</t>
    </rPh>
    <phoneticPr fontId="21"/>
  </si>
  <si>
    <t>ライフサイクルCO2排出率が，一般的な建物（参照値）と同等</t>
    <rPh sb="19" eb="21">
      <t>タテモノ</t>
    </rPh>
    <phoneticPr fontId="21"/>
  </si>
  <si>
    <t>ライフサイクルCO2排出率が，一般的な建物（参照値）に対して５０％以下</t>
    <rPh sb="19" eb="21">
      <t>タテモノ</t>
    </rPh>
    <phoneticPr fontId="21"/>
  </si>
  <si>
    <t>NOx，SOx，ばいじんについて，発生源におけるガス又はばいじんの濃度が，大気汚染防止法，低NOx型小規模燃焼機器の推奨ガイドライン（環境省）ならびに地域の条例等で定められる現行の排出基準を上回っている。</t>
  </si>
  <si>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</si>
  <si>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</si>
  <si>
    <t>燃焼機器を使用しておらず，対象建築物の仮想閉空間から外部空間に対して大気汚染物質を全く発生しない。</t>
  </si>
  <si>
    <t>1) 建物利用者のための適切な量の自転車置場（バイク置場を含む）の確保，駐輪場利用者の利便性への配慮（出し入れし易さ，利用し易い位置にあるなど）</t>
  </si>
  <si>
    <t>1)ゴミ処理負荷低減対策の計画のために，敷地内（室内・室外）から日常的に発生するゴミの種類や量を推計している場合。</t>
  </si>
  <si>
    <t>III ゴミの減容化・減量化，あるいは堆肥化するための設備の設置</t>
  </si>
  <si>
    <t>5)生ゴミの減容化・減量化，堆肥化対策を計画している場合（ディスポーザー，生ゴミの自家処理・コンポスト化，バイオマス利用など）</t>
    <rPh sb="58" eb="60">
      <t>リヨウ</t>
    </rPh>
    <phoneticPr fontId="21"/>
  </si>
  <si>
    <t>*1）規制基準は現行の値とし，現行基準以前に設置された施設についても現行の基準で評価する（昼間，朝・夕，夜間とも）。
*2)レベル５については，[現行の基準値－10dB]以下に抑えられている場合とする（昼間，朝・夕，夜間とも）。</t>
  </si>
  <si>
    <t>*1）規制基準は現行の値とし，現行基準以前に設置された施設についても現行の基準で評価する（昼間，夜間とも）。
*2)レベル５については，（現行の基準値－5dB）以下に抑えられている場合とする（昼間，夜間とも）。</t>
  </si>
  <si>
    <t>昼間（am8時～pm7時），夜間（pm7時～翌朝8時）のいずれの時間も下記の基準を満たしていること</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</si>
  <si>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1"/>
  </si>
  <si>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</si>
  <si>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</si>
  <si>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</si>
  <si>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</si>
  <si>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t>校庭からの砂塵に対して，標準的な取組みが行われている。（評価ポイント2）</t>
  </si>
  <si>
    <t>校庭からの砂塵に対して，標準以上の取組みが行われている。（評価ポイント3）</t>
  </si>
  <si>
    <t>校庭からの砂塵に対して，充実した取組みが行われている。（評価ポイント4以上）</t>
    <rPh sb="35" eb="37">
      <t>イジョウ</t>
    </rPh>
    <phoneticPr fontId="21"/>
  </si>
  <si>
    <t>1）校庭の周囲に防砂林や防砂ネットを整備し，砂塵の飛散を抑制している。</t>
  </si>
  <si>
    <t>2)校庭の周囲を建物で囲い，砂塵の発生や飛散を抑制している。</t>
  </si>
  <si>
    <t>1）校庭にスプリンクラーを設置し，砂塵の発生を抑制している。</t>
  </si>
  <si>
    <t>日影規制を満たしている，または当該敷地に日影規制が無い場合。</t>
  </si>
  <si>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</si>
  <si>
    <t>「広告物照明の扱い」の配慮事項の過半を満たしている場合，または広告物照明を行っていない（2ポイント）</t>
  </si>
  <si>
    <t>レベル4に加え，シミュレーションの実施等により大幅な低減効果を確認するなど，より高度な取組みを行っている。</t>
  </si>
  <si>
    <t>風害・砂塵・日照阻害の抑制</t>
    <phoneticPr fontId="21"/>
  </si>
  <si>
    <t>S造，</t>
    <rPh sb="1" eb="2">
      <t>ゾウ</t>
    </rPh>
    <phoneticPr fontId="21"/>
  </si>
  <si>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1"/>
  </si>
  <si>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1"/>
  </si>
  <si>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1"/>
  </si>
  <si>
    <t>＜参考＞　個別計算にあたって，利用できる計算値</t>
    <rPh sb="1" eb="3">
      <t>サンコウ</t>
    </rPh>
    <rPh sb="5" eb="7">
      <t>コベツ</t>
    </rPh>
    <rPh sb="7" eb="9">
      <t>ケイサン</t>
    </rPh>
    <rPh sb="15" eb="17">
      <t>リヨウ</t>
    </rPh>
    <rPh sb="20" eb="23">
      <t>ケイサンチ</t>
    </rPh>
    <phoneticPr fontId="21"/>
  </si>
  <si>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1"/>
  </si>
  <si>
    <t>風害・砂塵・日照阻害の抑制</t>
    <phoneticPr fontId="34" type="noConversion"/>
  </si>
  <si>
    <t>記号凡例　●：重点項目　○：低炭素景観創出に係る項目</t>
    <rPh sb="0" eb="2">
      <t>キゴウ</t>
    </rPh>
    <rPh sb="2" eb="4">
      <t>ハンレイ</t>
    </rPh>
    <phoneticPr fontId="21"/>
  </si>
  <si>
    <t>　（１）評価条件として，与えられた排出係数を用いる場合</t>
  </si>
  <si>
    <t>商業地域，防火地域</t>
    <rPh sb="0" eb="2">
      <t>ショウギョウ</t>
    </rPh>
    <rPh sb="2" eb="4">
      <t>チイキ</t>
    </rPh>
    <rPh sb="5" eb="7">
      <t>ボウカ</t>
    </rPh>
    <rPh sb="7" eb="9">
      <t>チイキ</t>
    </rPh>
    <phoneticPr fontId="21"/>
  </si>
  <si>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1"/>
  </si>
  <si>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1"/>
  </si>
  <si>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1"/>
  </si>
  <si>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1"/>
  </si>
  <si>
    <t xml:space="preserve"> 百貨店，マーケット など</t>
    <rPh sb="1" eb="4">
      <t>ヒャッカテン</t>
    </rPh>
    <phoneticPr fontId="21"/>
  </si>
  <si>
    <t xml:space="preserve"> 飲食店，食堂，喫茶店 など</t>
    <rPh sb="1" eb="3">
      <t>インショク</t>
    </rPh>
    <rPh sb="3" eb="4">
      <t>テン</t>
    </rPh>
    <rPh sb="5" eb="7">
      <t>ショクドウ</t>
    </rPh>
    <rPh sb="8" eb="11">
      <t>キッサテン</t>
    </rPh>
    <phoneticPr fontId="21"/>
  </si>
  <si>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1"/>
  </si>
  <si>
    <t xml:space="preserve"> 病院，老人ホーム，身体障害者福祉ホームなど</t>
    <rPh sb="1" eb="3">
      <t>ビョウイン</t>
    </rPh>
    <rPh sb="4" eb="6">
      <t>ロウジン</t>
    </rPh>
    <rPh sb="10" eb="12">
      <t>シンタイ</t>
    </rPh>
    <rPh sb="12" eb="15">
      <t>ショウガイシャ</t>
    </rPh>
    <rPh sb="15" eb="17">
      <t>フクシ</t>
    </rPh>
    <phoneticPr fontId="21"/>
  </si>
  <si>
    <t xml:space="preserve"> ホテル，旅館など</t>
    <rPh sb="5" eb="7">
      <t>リョカン</t>
    </rPh>
    <phoneticPr fontId="21"/>
  </si>
  <si>
    <t>評　価　ソ　フ　ト（標準システム）</t>
    <rPh sb="0" eb="1">
      <t>ヒョウ</t>
    </rPh>
    <rPh sb="2" eb="3">
      <t>アタイ</t>
    </rPh>
    <rPh sb="10" eb="12">
      <t>ヒョウジュン</t>
    </rPh>
    <phoneticPr fontId="21"/>
  </si>
  <si>
    <t>このグラフは，LR3中の「地球温暖化への配慮」の内容を，一般的な建物（参照値）と比べたライフサイクルCO2 排出量の目安で示したものです</t>
    <rPh sb="32" eb="34">
      <t>タテモノ</t>
    </rPh>
    <phoneticPr fontId="21"/>
  </si>
  <si>
    <t>このグラフは，一般的な建物（参照値）と比べたライフサイクルCO2 排出量を評価者自身の計算（個別計算）により算出した結果を示しています。LCCO2の算定条件等については，「LCCO2算定条件シート（個別計算）」を参照されたい</t>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1"/>
  </si>
  <si>
    <t>＜実施設計段階，竣工段階で詳細な評価を行う場合に記入＞</t>
  </si>
  <si>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1"/>
  </si>
  <si>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1"/>
  </si>
  <si>
    <t>(3)の評価はオプションとし，実施設計段階および竣工段階で可能な範囲で記入する。</t>
  </si>
  <si>
    <t>バージョン</t>
    <phoneticPr fontId="21"/>
  </si>
  <si>
    <t>1　建物概要</t>
    <rPh sb="2" eb="3">
      <t>ｹﾝ</t>
    </rPh>
    <rPh sb="3" eb="4">
      <t>ﾓﾉ</t>
    </rPh>
    <rPh sb="4" eb="6">
      <t>ｶﾞｲﾖｳ</t>
    </rPh>
    <phoneticPr fontId="34" type="noConversion"/>
  </si>
  <si>
    <t>C</t>
    <phoneticPr fontId="21"/>
  </si>
  <si>
    <t>★</t>
    <phoneticPr fontId="21"/>
  </si>
  <si>
    <t>建物名称</t>
    <rPh sb="0" eb="2">
      <t>タテモノ</t>
    </rPh>
    <rPh sb="2" eb="4">
      <t>メイショウ</t>
    </rPh>
    <phoneticPr fontId="21"/>
  </si>
  <si>
    <t>★★</t>
    <phoneticPr fontId="21"/>
  </si>
  <si>
    <t>延床面積</t>
    <rPh sb="0" eb="1">
      <t>ノベ</t>
    </rPh>
    <rPh sb="1" eb="4">
      <t>ユカメンセキ</t>
    </rPh>
    <phoneticPr fontId="174"/>
  </si>
  <si>
    <t>★★★</t>
    <phoneticPr fontId="21"/>
  </si>
  <si>
    <t>用途</t>
    <rPh sb="0" eb="2">
      <t>ヨウト</t>
    </rPh>
    <phoneticPr fontId="174"/>
  </si>
  <si>
    <t>使用CASBEE評価マニュアル</t>
  </si>
  <si>
    <t>★★★★</t>
    <phoneticPr fontId="21"/>
  </si>
  <si>
    <t xml:space="preserve">使用CASBEE評価ソフト </t>
    <phoneticPr fontId="21"/>
  </si>
  <si>
    <t>★★★★★</t>
    <phoneticPr fontId="21"/>
  </si>
  <si>
    <t>2　重点項目への取組度</t>
    <rPh sb="2" eb="4">
      <t>ｼﾞｭｳﾃﾝ</t>
    </rPh>
    <rPh sb="4" eb="6">
      <t>ｺｳﾓｸ</t>
    </rPh>
    <rPh sb="10" eb="11">
      <t>ﾄﾞ</t>
    </rPh>
    <phoneticPr fontId="34" type="noConversion"/>
  </si>
  <si>
    <t>キーワード</t>
    <phoneticPr fontId="21"/>
  </si>
  <si>
    <t>取組度</t>
    <rPh sb="2" eb="3">
      <t>ド</t>
    </rPh>
    <phoneticPr fontId="21"/>
  </si>
  <si>
    <t>1　大切に使う</t>
    <phoneticPr fontId="21"/>
  </si>
  <si>
    <t>2　ともに住まう</t>
    <phoneticPr fontId="21"/>
  </si>
  <si>
    <t>3　自然からつくる</t>
    <phoneticPr fontId="21"/>
  </si>
  <si>
    <t>3　設計上の配慮事項とCASBEEのスコア</t>
    <rPh sb="2" eb="4">
      <t>セッケイ</t>
    </rPh>
    <rPh sb="4" eb="5">
      <t>ジョウ</t>
    </rPh>
    <rPh sb="6" eb="8">
      <t>ハイリョ</t>
    </rPh>
    <rPh sb="8" eb="10">
      <t>ジコウ</t>
    </rPh>
    <phoneticPr fontId="21"/>
  </si>
  <si>
    <t>大切に使う</t>
    <rPh sb="0" eb="2">
      <t>タイセツ</t>
    </rPh>
    <rPh sb="3" eb="4">
      <t>ツカ</t>
    </rPh>
    <phoneticPr fontId="21"/>
  </si>
  <si>
    <t>合計点</t>
    <rPh sb="0" eb="2">
      <t>ゴウケイ</t>
    </rPh>
    <rPh sb="2" eb="3">
      <t>テン</t>
    </rPh>
    <phoneticPr fontId="21"/>
  </si>
  <si>
    <t>■長寿命化</t>
    <rPh sb="1" eb="2">
      <t>チョウ</t>
    </rPh>
    <rPh sb="2" eb="4">
      <t>ジュミョウ</t>
    </rPh>
    <rPh sb="4" eb="5">
      <t>カ</t>
    </rPh>
    <phoneticPr fontId="174"/>
  </si>
  <si>
    <t>合計点</t>
    <rPh sb="0" eb="2">
      <t>ゴウケイ</t>
    </rPh>
    <rPh sb="2" eb="3">
      <t>テン</t>
    </rPh>
    <phoneticPr fontId="174"/>
  </si>
  <si>
    <t>Q2/3.3平均</t>
    <rPh sb="6" eb="8">
      <t>ヘイキン</t>
    </rPh>
    <phoneticPr fontId="21"/>
  </si>
  <si>
    <t>◇メンテナンスの容易性</t>
    <rPh sb="8" eb="11">
      <t>ヨウイセイ</t>
    </rPh>
    <phoneticPr fontId="21"/>
  </si>
  <si>
    <t>◇物理的長寿命</t>
    <rPh sb="1" eb="4">
      <t>ブツリテキ</t>
    </rPh>
    <rPh sb="4" eb="5">
      <t>チョウ</t>
    </rPh>
    <rPh sb="5" eb="7">
      <t>ジュミョウ</t>
    </rPh>
    <phoneticPr fontId="21"/>
  </si>
  <si>
    <t>　Q2/　3.3.1　空調配管の更新性</t>
    <rPh sb="11" eb="13">
      <t>クウチョウ</t>
    </rPh>
    <rPh sb="13" eb="15">
      <t>ハイカン</t>
    </rPh>
    <rPh sb="16" eb="19">
      <t>コウシンセイ</t>
    </rPh>
    <phoneticPr fontId="21"/>
  </si>
  <si>
    <t>スコア</t>
    <phoneticPr fontId="21"/>
  </si>
  <si>
    <t>　Q2/　2.2.1　躯体材料の耐用年数</t>
    <rPh sb="11" eb="13">
      <t>クタイ</t>
    </rPh>
    <rPh sb="13" eb="15">
      <t>ザイリョウ</t>
    </rPh>
    <rPh sb="16" eb="18">
      <t>タイヨウ</t>
    </rPh>
    <rPh sb="18" eb="20">
      <t>ネンスウ</t>
    </rPh>
    <phoneticPr fontId="21"/>
  </si>
  <si>
    <t>スコア</t>
    <phoneticPr fontId="21"/>
  </si>
  <si>
    <t>　Q2/　3.3.2　給排水管の更新性</t>
    <rPh sb="11" eb="12">
      <t>キュウ</t>
    </rPh>
    <rPh sb="12" eb="15">
      <t>ハイスイカン</t>
    </rPh>
    <rPh sb="16" eb="19">
      <t>コウシンセイ</t>
    </rPh>
    <phoneticPr fontId="21"/>
  </si>
  <si>
    <t>　＜自由記述＞</t>
    <phoneticPr fontId="21"/>
  </si>
  <si>
    <t>　Q2/　3.3.3　電気配線の更新性</t>
    <rPh sb="11" eb="13">
      <t>デンキ</t>
    </rPh>
    <rPh sb="13" eb="15">
      <t>ハイセン</t>
    </rPh>
    <rPh sb="16" eb="19">
      <t>コウシンセイ</t>
    </rPh>
    <phoneticPr fontId="21"/>
  </si>
  <si>
    <t>　Q2/　3.3.4　通信配線の更新性</t>
    <rPh sb="11" eb="13">
      <t>ツウシン</t>
    </rPh>
    <rPh sb="13" eb="15">
      <t>ハイセン</t>
    </rPh>
    <rPh sb="16" eb="19">
      <t>コウシンセイ</t>
    </rPh>
    <phoneticPr fontId="21"/>
  </si>
  <si>
    <t>◇社会的長寿命</t>
    <rPh sb="1" eb="3">
      <t>シャカイ</t>
    </rPh>
    <rPh sb="3" eb="4">
      <t>テキ</t>
    </rPh>
    <rPh sb="4" eb="5">
      <t>チョウ</t>
    </rPh>
    <rPh sb="5" eb="7">
      <t>ジュミョウ</t>
    </rPh>
    <phoneticPr fontId="21"/>
  </si>
  <si>
    <t>　Q2/　3.3.5　設備機器の更新性</t>
    <rPh sb="11" eb="13">
      <t>セツビ</t>
    </rPh>
    <rPh sb="13" eb="15">
      <t>キキ</t>
    </rPh>
    <rPh sb="16" eb="19">
      <t>コウシンセイ</t>
    </rPh>
    <phoneticPr fontId="21"/>
  </si>
  <si>
    <t>　Q2/　1.1.3　バリアフリー計画</t>
    <rPh sb="17" eb="19">
      <t>ケイカク</t>
    </rPh>
    <phoneticPr fontId="21"/>
  </si>
  <si>
    <t>(注　上記5項目のスコアの平均が合計点に加算される）</t>
    <rPh sb="1" eb="2">
      <t>チュウ</t>
    </rPh>
    <rPh sb="3" eb="5">
      <t>ジョウキ</t>
    </rPh>
    <rPh sb="6" eb="8">
      <t>コウモク</t>
    </rPh>
    <rPh sb="13" eb="15">
      <t>ヘイキン</t>
    </rPh>
    <rPh sb="16" eb="18">
      <t>ゴウケイ</t>
    </rPh>
    <rPh sb="18" eb="19">
      <t>テン</t>
    </rPh>
    <rPh sb="20" eb="22">
      <t>カサン</t>
    </rPh>
    <phoneticPr fontId="21"/>
  </si>
  <si>
    <t>　Q2/　3.1.2　空間の形状・自由さ</t>
    <rPh sb="11" eb="13">
      <t>クウカン</t>
    </rPh>
    <rPh sb="14" eb="16">
      <t>ケイジョウ</t>
    </rPh>
    <rPh sb="17" eb="19">
      <t>ジユウ</t>
    </rPh>
    <phoneticPr fontId="21"/>
  </si>
  <si>
    <t>　＜自由記述＞</t>
  </si>
  <si>
    <t>■省資源</t>
    <rPh sb="1" eb="4">
      <t>ショウシゲン</t>
    </rPh>
    <phoneticPr fontId="174"/>
  </si>
  <si>
    <t>　LR2/　2.1　材料使用量の削減</t>
    <rPh sb="10" eb="12">
      <t>ザイリョウ</t>
    </rPh>
    <rPh sb="12" eb="15">
      <t>シヨウリョウ</t>
    </rPh>
    <rPh sb="16" eb="18">
      <t>サクゲン</t>
    </rPh>
    <phoneticPr fontId="21"/>
  </si>
  <si>
    <t>スコア</t>
  </si>
  <si>
    <t>　LR2/　2.3　躯体材料におけるリサイクル材の使用</t>
    <rPh sb="10" eb="12">
      <t>クタイ</t>
    </rPh>
    <rPh sb="12" eb="14">
      <t>ザイリョウ</t>
    </rPh>
    <rPh sb="23" eb="24">
      <t>ザイ</t>
    </rPh>
    <rPh sb="25" eb="27">
      <t>シヨウ</t>
    </rPh>
    <phoneticPr fontId="21"/>
  </si>
  <si>
    <t>　LR2/　2.6　部材の再利用可能性向上への取組</t>
    <rPh sb="10" eb="12">
      <t>ブザイ</t>
    </rPh>
    <rPh sb="13" eb="16">
      <t>サイリヨウ</t>
    </rPh>
    <rPh sb="16" eb="19">
      <t>カノウセイ</t>
    </rPh>
    <rPh sb="19" eb="21">
      <t>コウジョウ</t>
    </rPh>
    <phoneticPr fontId="21"/>
  </si>
  <si>
    <t>＜自由記述＞</t>
  </si>
  <si>
    <t>◆独自加点項目</t>
    <rPh sb="1" eb="3">
      <t>ドクジ</t>
    </rPh>
    <rPh sb="3" eb="5">
      <t>カテン</t>
    </rPh>
    <rPh sb="5" eb="7">
      <t>コウモク</t>
    </rPh>
    <phoneticPr fontId="21"/>
  </si>
  <si>
    <t>　LR2/　2.1　材料使用量の削減</t>
  </si>
  <si>
    <t>　LR2/　2.3　躯体材料におけるリサイクル材の使用</t>
  </si>
  <si>
    <t>ともに住まう</t>
    <rPh sb="3" eb="4">
      <t>ス</t>
    </rPh>
    <phoneticPr fontId="21"/>
  </si>
  <si>
    <t>■自然とともに住まう</t>
    <rPh sb="1" eb="3">
      <t>シゼン</t>
    </rPh>
    <rPh sb="7" eb="8">
      <t>ス</t>
    </rPh>
    <phoneticPr fontId="174"/>
  </si>
  <si>
    <t>合計点</t>
    <phoneticPr fontId="21"/>
  </si>
  <si>
    <t>■地域とともに住まう</t>
    <rPh sb="1" eb="3">
      <t>チイキ</t>
    </rPh>
    <rPh sb="7" eb="8">
      <t>ス</t>
    </rPh>
    <phoneticPr fontId="174"/>
  </si>
  <si>
    <t>◇自然を感じられる計画</t>
    <rPh sb="1" eb="3">
      <t>シゼン</t>
    </rPh>
    <rPh sb="4" eb="5">
      <t>カン</t>
    </rPh>
    <rPh sb="9" eb="11">
      <t>ケイカク</t>
    </rPh>
    <phoneticPr fontId="21"/>
  </si>
  <si>
    <t>◇地域環境やコミュニティーへの配慮</t>
    <rPh sb="1" eb="3">
      <t>チイキ</t>
    </rPh>
    <rPh sb="3" eb="5">
      <t>カンキョウ</t>
    </rPh>
    <rPh sb="15" eb="17">
      <t>ハイリョ</t>
    </rPh>
    <phoneticPr fontId="21"/>
  </si>
  <si>
    <t>　Q2/　1.2.1　広さ感・景観</t>
    <rPh sb="11" eb="12">
      <t>ヒロ</t>
    </rPh>
    <rPh sb="13" eb="14">
      <t>カン</t>
    </rPh>
    <rPh sb="15" eb="17">
      <t>ケイカン</t>
    </rPh>
    <phoneticPr fontId="21"/>
  </si>
  <si>
    <t>　Q3/　3.1　地域性への配慮、快適性の向上</t>
    <rPh sb="9" eb="12">
      <t>チイキセイ</t>
    </rPh>
    <rPh sb="14" eb="16">
      <t>ハイリョ</t>
    </rPh>
    <rPh sb="17" eb="20">
      <t>カイテキセイ</t>
    </rPh>
    <rPh sb="21" eb="23">
      <t>コウジョウ</t>
    </rPh>
    <phoneticPr fontId="21"/>
  </si>
  <si>
    <t>　Q3/　1　生物環境の保全と創出</t>
    <rPh sb="7" eb="9">
      <t>セイブツ</t>
    </rPh>
    <rPh sb="9" eb="11">
      <t>カンキョウ</t>
    </rPh>
    <rPh sb="12" eb="14">
      <t>ホゼン</t>
    </rPh>
    <rPh sb="15" eb="17">
      <t>ソウシュツ</t>
    </rPh>
    <phoneticPr fontId="21"/>
  </si>
  <si>
    <t>　LR3/　2.2　温熱環境悪化の改善</t>
    <rPh sb="10" eb="12">
      <t>オンネツ</t>
    </rPh>
    <rPh sb="12" eb="14">
      <t>カンキョウ</t>
    </rPh>
    <rPh sb="14" eb="16">
      <t>アッカ</t>
    </rPh>
    <rPh sb="17" eb="19">
      <t>カイゼン</t>
    </rPh>
    <phoneticPr fontId="21"/>
  </si>
  <si>
    <t>　Q3/　3.2　敷地内温熱環境の向上</t>
    <rPh sb="9" eb="11">
      <t>シキチ</t>
    </rPh>
    <rPh sb="11" eb="12">
      <t>ナイ</t>
    </rPh>
    <rPh sb="12" eb="14">
      <t>オンネツ</t>
    </rPh>
    <rPh sb="14" eb="16">
      <t>カンキョウ</t>
    </rPh>
    <rPh sb="17" eb="19">
      <t>コウジョウ</t>
    </rPh>
    <phoneticPr fontId="21"/>
  </si>
  <si>
    <t>　LR3/　3.3.2　昼光の建物外壁による反射光（グレア）への対策</t>
    <rPh sb="12" eb="14">
      <t>チュウコウ</t>
    </rPh>
    <rPh sb="15" eb="17">
      <t>タテモノ</t>
    </rPh>
    <rPh sb="17" eb="19">
      <t>ガイヘキ</t>
    </rPh>
    <rPh sb="22" eb="24">
      <t>ハンシャ</t>
    </rPh>
    <rPh sb="24" eb="25">
      <t>コウ</t>
    </rPh>
    <rPh sb="32" eb="34">
      <t>タイサク</t>
    </rPh>
    <phoneticPr fontId="21"/>
  </si>
  <si>
    <t>■歴史とともに住まう</t>
    <rPh sb="1" eb="3">
      <t>レキシ</t>
    </rPh>
    <rPh sb="7" eb="8">
      <t>ス</t>
    </rPh>
    <phoneticPr fontId="174"/>
  </si>
  <si>
    <t>◇歴史性への配慮</t>
    <rPh sb="1" eb="3">
      <t>レキシ</t>
    </rPh>
    <rPh sb="3" eb="4">
      <t>セイ</t>
    </rPh>
    <rPh sb="6" eb="8">
      <t>ハイリョ</t>
    </rPh>
    <phoneticPr fontId="21"/>
  </si>
  <si>
    <t>　Q2/　1.2.3　内装計画</t>
    <rPh sb="11" eb="13">
      <t>ナイソウ</t>
    </rPh>
    <rPh sb="13" eb="15">
      <t>ケイカク</t>
    </rPh>
    <phoneticPr fontId="21"/>
  </si>
  <si>
    <t>◆独自加点項目</t>
    <rPh sb="1" eb="3">
      <t>ドクジ</t>
    </rPh>
    <rPh sb="3" eb="5">
      <t>カテン</t>
    </rPh>
    <phoneticPr fontId="21"/>
  </si>
  <si>
    <t>　Q2/　1.2.1 広さ感・景観</t>
    <rPh sb="11" eb="12">
      <t>ヒロ</t>
    </rPh>
    <rPh sb="13" eb="14">
      <t>カン</t>
    </rPh>
    <rPh sb="15" eb="17">
      <t>ケイカン</t>
    </rPh>
    <phoneticPr fontId="174"/>
  </si>
  <si>
    <t>　LR3/　3.3.2 昼光の建物外壁による反射光（グレア）への対策</t>
    <phoneticPr fontId="174"/>
  </si>
  <si>
    <t>自然からつくる</t>
    <rPh sb="0" eb="2">
      <t>シゼン</t>
    </rPh>
    <phoneticPr fontId="21"/>
  </si>
  <si>
    <t>合計点</t>
  </si>
  <si>
    <t>■自然材料の利用</t>
    <rPh sb="1" eb="3">
      <t>シゼン</t>
    </rPh>
    <rPh sb="3" eb="5">
      <t>ザイリョウ</t>
    </rPh>
    <rPh sb="6" eb="8">
      <t>リヨウ</t>
    </rPh>
    <phoneticPr fontId="174"/>
  </si>
  <si>
    <t>　LR2/　2.5　持続可能な森林から産出された木材</t>
    <rPh sb="10" eb="12">
      <t>ジゾク</t>
    </rPh>
    <rPh sb="12" eb="14">
      <t>カノウ</t>
    </rPh>
    <rPh sb="15" eb="17">
      <t>シンリン</t>
    </rPh>
    <rPh sb="19" eb="21">
      <t>サンシュツ</t>
    </rPh>
    <rPh sb="24" eb="26">
      <t>モクザイ</t>
    </rPh>
    <phoneticPr fontId="21"/>
  </si>
  <si>
    <t>　Q1/　3.1.1　昼光率</t>
    <rPh sb="11" eb="13">
      <t>チュウコウ</t>
    </rPh>
    <rPh sb="13" eb="14">
      <t>リツ</t>
    </rPh>
    <phoneticPr fontId="21"/>
  </si>
  <si>
    <t>　Q1/　3.1.3　昼光利用設備</t>
    <rPh sb="11" eb="13">
      <t>チュウコウ</t>
    </rPh>
    <rPh sb="13" eb="15">
      <t>リヨウ</t>
    </rPh>
    <rPh sb="15" eb="17">
      <t>セツビ</t>
    </rPh>
    <phoneticPr fontId="21"/>
  </si>
  <si>
    <t>　LR2/　1.2.1　雨水利用システム</t>
    <rPh sb="12" eb="14">
      <t>ウスイ</t>
    </rPh>
    <rPh sb="14" eb="16">
      <t>リヨウ</t>
    </rPh>
    <phoneticPr fontId="21"/>
  </si>
  <si>
    <t>　Q1/　4.2.2　自然換気性能</t>
    <rPh sb="11" eb="13">
      <t>シゼン</t>
    </rPh>
    <rPh sb="13" eb="15">
      <t>カンキ</t>
    </rPh>
    <rPh sb="15" eb="17">
      <t>セイノウ</t>
    </rPh>
    <phoneticPr fontId="21"/>
  </si>
  <si>
    <t>　LR2/　2.5 持続可能な森林から産出された木材</t>
    <rPh sb="10" eb="12">
      <t>ジゾク</t>
    </rPh>
    <rPh sb="12" eb="14">
      <t>カノウ</t>
    </rPh>
    <rPh sb="15" eb="17">
      <t>シンリン</t>
    </rPh>
    <rPh sb="19" eb="21">
      <t>サンシュツ</t>
    </rPh>
    <rPh sb="24" eb="26">
      <t>モクザイ</t>
    </rPh>
    <phoneticPr fontId="174"/>
  </si>
  <si>
    <t>　Q1/　3.1.3 昼光利用設備</t>
    <phoneticPr fontId="174"/>
  </si>
  <si>
    <t>4　低炭素景観の創出に関する評価</t>
    <rPh sb="2" eb="5">
      <t>テイタンソ</t>
    </rPh>
    <rPh sb="5" eb="7">
      <t>ケイカン</t>
    </rPh>
    <rPh sb="8" eb="10">
      <t>ソウシュツ</t>
    </rPh>
    <rPh sb="11" eb="12">
      <t>カン</t>
    </rPh>
    <rPh sb="14" eb="16">
      <t>ヒョウカ</t>
    </rPh>
    <phoneticPr fontId="174"/>
  </si>
  <si>
    <t>低炭素景観</t>
    <rPh sb="0" eb="3">
      <t>テイタンソ</t>
    </rPh>
    <rPh sb="3" eb="5">
      <t>ケイカン</t>
    </rPh>
    <phoneticPr fontId="21"/>
  </si>
  <si>
    <t>取組数</t>
    <rPh sb="0" eb="1">
      <t>ト</t>
    </rPh>
    <rPh sb="1" eb="2">
      <t>ク</t>
    </rPh>
    <rPh sb="2" eb="3">
      <t>スウ</t>
    </rPh>
    <phoneticPr fontId="21"/>
  </si>
  <si>
    <t>Q3/1 生物環境の保全と創出</t>
    <phoneticPr fontId="21"/>
  </si>
  <si>
    <t>Q3/3.2 敷地内温熱環境の向上</t>
    <phoneticPr fontId="21"/>
  </si>
  <si>
    <t>LR3/2.2 温熱環境悪化の改善　</t>
    <phoneticPr fontId="21"/>
  </si>
  <si>
    <r>
      <t>５　ライフサイクルCO</t>
    </r>
    <r>
      <rPr>
        <b/>
        <vertAlign val="subscript"/>
        <sz val="12"/>
        <color indexed="9"/>
        <rFont val="ＭＳ Ｐゴシック"/>
        <family val="3"/>
        <charset val="128"/>
      </rPr>
      <t>2</t>
    </r>
    <r>
      <rPr>
        <b/>
        <sz val="12"/>
        <color indexed="9"/>
        <rFont val="ＭＳ Ｐゴシック"/>
        <family val="3"/>
        <charset val="128"/>
      </rPr>
      <t>とCO</t>
    </r>
    <r>
      <rPr>
        <b/>
        <vertAlign val="subscript"/>
        <sz val="12"/>
        <color indexed="9"/>
        <rFont val="ＭＳ Ｐゴシック"/>
        <family val="3"/>
        <charset val="128"/>
      </rPr>
      <t>2</t>
    </r>
    <r>
      <rPr>
        <b/>
        <sz val="12"/>
        <color indexed="9"/>
        <rFont val="ＭＳ Ｐゴシック"/>
        <family val="3"/>
        <charset val="128"/>
      </rPr>
      <t>削減率</t>
    </r>
    <rPh sb="16" eb="18">
      <t>サクゲン</t>
    </rPh>
    <rPh sb="18" eb="19">
      <t>リツ</t>
    </rPh>
    <phoneticPr fontId="174"/>
  </si>
  <si>
    <t>LR3/3.3.2 昼光の建物外壁による反射光（グレア）への対策</t>
    <phoneticPr fontId="21"/>
  </si>
  <si>
    <r>
      <t>ライフサイクルCO</t>
    </r>
    <r>
      <rPr>
        <vertAlign val="subscript"/>
        <sz val="9"/>
        <rFont val="ＭＳ Ｐゴシック"/>
        <family val="3"/>
        <charset val="128"/>
      </rPr>
      <t>2</t>
    </r>
    <phoneticPr fontId="174"/>
  </si>
  <si>
    <r>
      <t>ｋｇ-CO</t>
    </r>
    <r>
      <rPr>
        <vertAlign val="subscript"/>
        <sz val="9"/>
        <rFont val="ＭＳ Ｐゴシック"/>
        <family val="3"/>
        <charset val="128"/>
      </rPr>
      <t>2</t>
    </r>
    <r>
      <rPr>
        <sz val="9"/>
        <rFont val="ＭＳ Ｐゴシック"/>
        <family val="3"/>
        <charset val="128"/>
      </rPr>
      <t>/年㎡</t>
    </r>
    <rPh sb="7" eb="8">
      <t>ネン</t>
    </rPh>
    <phoneticPr fontId="174"/>
  </si>
  <si>
    <t>ライフサイクル</t>
    <phoneticPr fontId="174"/>
  </si>
  <si>
    <r>
      <t>（ライフサイクルCO</t>
    </r>
    <r>
      <rPr>
        <vertAlign val="subscript"/>
        <sz val="9"/>
        <rFont val="ＭＳ Ｐゴシック"/>
        <family val="3"/>
        <charset val="128"/>
      </rPr>
      <t>2</t>
    </r>
    <r>
      <rPr>
        <sz val="9"/>
        <rFont val="ＭＳ Ｐゴシック"/>
        <family val="3"/>
        <charset val="128"/>
      </rPr>
      <t>参照値）</t>
    </r>
    <rPh sb="11" eb="13">
      <t>サンショウ</t>
    </rPh>
    <rPh sb="13" eb="14">
      <t>チ</t>
    </rPh>
    <phoneticPr fontId="21"/>
  </si>
  <si>
    <r>
      <t>CO</t>
    </r>
    <r>
      <rPr>
        <b/>
        <vertAlign val="subscript"/>
        <sz val="11"/>
        <rFont val="ＭＳ Ｐゴシック"/>
        <family val="3"/>
        <charset val="128"/>
      </rPr>
      <t>2</t>
    </r>
    <r>
      <rPr>
        <b/>
        <sz val="11"/>
        <rFont val="ＭＳ Ｐゴシック"/>
        <family val="3"/>
        <charset val="128"/>
      </rPr>
      <t>削減率</t>
    </r>
    <phoneticPr fontId="174"/>
  </si>
  <si>
    <r>
      <t>CO</t>
    </r>
    <r>
      <rPr>
        <vertAlign val="subscript"/>
        <sz val="9"/>
        <rFont val="ＭＳ Ｐゴシック"/>
        <family val="3"/>
        <charset val="128"/>
      </rPr>
      <t>2</t>
    </r>
    <r>
      <rPr>
        <sz val="9"/>
        <rFont val="ＭＳ Ｐゴシック"/>
        <family val="3"/>
        <charset val="128"/>
      </rPr>
      <t>削減量</t>
    </r>
    <rPh sb="5" eb="6">
      <t>リョウ</t>
    </rPh>
    <phoneticPr fontId="174"/>
  </si>
  <si>
    <r>
      <t>６　ウッドマイレージＣＯ</t>
    </r>
    <r>
      <rPr>
        <b/>
        <vertAlign val="subscript"/>
        <sz val="12"/>
        <color indexed="9"/>
        <rFont val="ＭＳ Ｐゴシック"/>
        <family val="3"/>
        <charset val="128"/>
      </rPr>
      <t>２</t>
    </r>
    <r>
      <rPr>
        <b/>
        <sz val="12"/>
        <color indexed="9"/>
        <rFont val="ＭＳ Ｐゴシック"/>
        <family val="3"/>
        <charset val="128"/>
      </rPr>
      <t>とＣＯ</t>
    </r>
    <r>
      <rPr>
        <b/>
        <vertAlign val="subscript"/>
        <sz val="12"/>
        <color indexed="9"/>
        <rFont val="ＭＳ Ｐゴシック"/>
        <family val="3"/>
        <charset val="128"/>
      </rPr>
      <t>２</t>
    </r>
    <r>
      <rPr>
        <b/>
        <sz val="12"/>
        <color indexed="9"/>
        <rFont val="ＭＳ Ｐゴシック"/>
        <family val="3"/>
        <charset val="128"/>
      </rPr>
      <t>削減率</t>
    </r>
    <rPh sb="17" eb="19">
      <t>サクゲン</t>
    </rPh>
    <rPh sb="19" eb="20">
      <t>リツ</t>
    </rPh>
    <phoneticPr fontId="174"/>
  </si>
  <si>
    <r>
      <t>ウッドマイレージCO</t>
    </r>
    <r>
      <rPr>
        <vertAlign val="subscript"/>
        <sz val="9"/>
        <rFont val="ＭＳ Ｐゴシック"/>
        <family val="3"/>
        <charset val="128"/>
      </rPr>
      <t>2</t>
    </r>
    <phoneticPr fontId="174"/>
  </si>
  <si>
    <r>
      <t>ｋｇ-CO</t>
    </r>
    <r>
      <rPr>
        <vertAlign val="subscript"/>
        <sz val="9"/>
        <rFont val="ＭＳ Ｐゴシック"/>
        <family val="3"/>
        <charset val="128"/>
      </rPr>
      <t>2</t>
    </r>
    <phoneticPr fontId="174"/>
  </si>
  <si>
    <t>ウッドマイレージ</t>
    <phoneticPr fontId="174"/>
  </si>
  <si>
    <r>
      <t>CO</t>
    </r>
    <r>
      <rPr>
        <vertAlign val="subscript"/>
        <sz val="9"/>
        <rFont val="ＭＳ Ｐゴシック"/>
        <family val="3"/>
        <charset val="128"/>
      </rPr>
      <t>2</t>
    </r>
    <r>
      <rPr>
        <sz val="9"/>
        <rFont val="ＭＳ Ｐゴシック"/>
        <family val="3"/>
        <charset val="128"/>
      </rPr>
      <t>削減効果</t>
    </r>
    <phoneticPr fontId="174"/>
  </si>
  <si>
    <r>
      <t>ｋｇ-CO</t>
    </r>
    <r>
      <rPr>
        <vertAlign val="subscript"/>
        <sz val="9"/>
        <rFont val="ＭＳ Ｐゴシック"/>
        <family val="3"/>
        <charset val="128"/>
      </rPr>
      <t>2</t>
    </r>
    <phoneticPr fontId="174"/>
  </si>
  <si>
    <t>：「ウッドマイレージ計算書」から転記</t>
    <rPh sb="10" eb="13">
      <t>ケイサンショ</t>
    </rPh>
    <rPh sb="16" eb="18">
      <t>テンキ</t>
    </rPh>
    <phoneticPr fontId="21"/>
  </si>
  <si>
    <t>：自由記述入力欄</t>
    <rPh sb="1" eb="3">
      <t>ジユウ</t>
    </rPh>
    <rPh sb="3" eb="5">
      <t>キジュツ</t>
    </rPh>
    <rPh sb="5" eb="7">
      <t>ニュウリョク</t>
    </rPh>
    <rPh sb="7" eb="8">
      <t>ラン</t>
    </rPh>
    <phoneticPr fontId="21"/>
  </si>
  <si>
    <t>　LR2/　2.4　躯体材料以外におけるリサイクル材の使用</t>
    <rPh sb="10" eb="12">
      <t>クタイ</t>
    </rPh>
    <rPh sb="12" eb="14">
      <t>ザイリョウ</t>
    </rPh>
    <rPh sb="14" eb="16">
      <t>イガイ</t>
    </rPh>
    <rPh sb="25" eb="26">
      <t>ザイ</t>
    </rPh>
    <rPh sb="27" eb="29">
      <t>シヨウ</t>
    </rPh>
    <phoneticPr fontId="21"/>
  </si>
  <si>
    <t>　LR2/　2.4　躯体材料以外におけるリサイクル材の使用</t>
    <phoneticPr fontId="21"/>
  </si>
  <si>
    <t>Q1/3.2.1 昼光制御</t>
    <phoneticPr fontId="21"/>
  </si>
  <si>
    <t>　Q1/　3.2.1 昼光制御</t>
    <phoneticPr fontId="21"/>
  </si>
  <si>
    <t>■自然環境の利用</t>
    <phoneticPr fontId="174"/>
  </si>
  <si>
    <t xml:space="preserve">     小・中学校</t>
    <phoneticPr fontId="21"/>
  </si>
  <si>
    <t>　LR1/　3 設備システムの高効率化</t>
    <phoneticPr fontId="21"/>
  </si>
  <si>
    <t>評価する取組みのうち，何れかの手法が採用されている。（但し，モニュメントの計画を除く）</t>
    <phoneticPr fontId="21"/>
  </si>
  <si>
    <t>上記の内容に加え，利用量が15MJ/㎡・年以上となる場合。</t>
    <rPh sb="0" eb="2">
      <t>ジョウキ</t>
    </rPh>
    <rPh sb="3" eb="5">
      <t>ナイヨウ</t>
    </rPh>
    <phoneticPr fontId="21"/>
  </si>
  <si>
    <t>太陽光利用：電力設備に代わり，太陽光発電を利用した，システムが計画されていること。（例）太陽光パネルなど</t>
    <rPh sb="0" eb="3">
      <t>タイヨウコウ</t>
    </rPh>
    <rPh sb="3" eb="5">
      <t>リヨウ</t>
    </rPh>
    <rPh sb="6" eb="8">
      <t>デンリョク</t>
    </rPh>
    <rPh sb="8" eb="10">
      <t>セツビ</t>
    </rPh>
    <rPh sb="11" eb="12">
      <t>カ</t>
    </rPh>
    <rPh sb="15" eb="18">
      <t>タイヨウコウ</t>
    </rPh>
    <rPh sb="18" eb="20">
      <t>ハツデン</t>
    </rPh>
    <rPh sb="21" eb="23">
      <t>リヨウ</t>
    </rPh>
    <rPh sb="31" eb="33">
      <t>ケイカク</t>
    </rPh>
    <rPh sb="42" eb="43">
      <t>レイ</t>
    </rPh>
    <rPh sb="44" eb="47">
      <t>タイヨウコウ</t>
    </rPh>
    <phoneticPr fontId="21"/>
  </si>
  <si>
    <t>太陽熱利用：熱源設備において，温熱負荷低減に有効な太陽熱利用システムが計画されていること。（例）ソーラーパネル，真空式温水器</t>
    <rPh sb="0" eb="3">
      <t>タイヨウネツ</t>
    </rPh>
    <rPh sb="3" eb="5">
      <t>リヨウ</t>
    </rPh>
    <rPh sb="6" eb="8">
      <t>ネツゲン</t>
    </rPh>
    <rPh sb="8" eb="10">
      <t>セツビ</t>
    </rPh>
    <rPh sb="15" eb="17">
      <t>オンネツ</t>
    </rPh>
    <rPh sb="17" eb="19">
      <t>フカ</t>
    </rPh>
    <rPh sb="19" eb="21">
      <t>テイゲン</t>
    </rPh>
    <rPh sb="22" eb="24">
      <t>ユウコウ</t>
    </rPh>
    <rPh sb="25" eb="28">
      <t>タイヨウネツ</t>
    </rPh>
    <rPh sb="28" eb="30">
      <t>リヨウ</t>
    </rPh>
    <rPh sb="35" eb="37">
      <t>ケイカク</t>
    </rPh>
    <rPh sb="46" eb="47">
      <t>レイ</t>
    </rPh>
    <rPh sb="56" eb="58">
      <t>シンクウ</t>
    </rPh>
    <rPh sb="58" eb="59">
      <t>シキ</t>
    </rPh>
    <rPh sb="59" eb="62">
      <t>オンスイキ</t>
    </rPh>
    <phoneticPr fontId="21"/>
  </si>
  <si>
    <t>未利用熱利用：熱源設備において，熱源効率の向上に有効な未利用熱システムが計画されている事。（例）井水利用ヒートポンプ，河川水利用ヒートポンプなど</t>
    <rPh sb="0" eb="3">
      <t>ミリヨウ</t>
    </rPh>
    <rPh sb="3" eb="4">
      <t>ネツ</t>
    </rPh>
    <rPh sb="4" eb="6">
      <t>リヨウ</t>
    </rPh>
    <rPh sb="7" eb="9">
      <t>ネツゲン</t>
    </rPh>
    <rPh sb="9" eb="11">
      <t>セツビ</t>
    </rPh>
    <rPh sb="16" eb="18">
      <t>ネツゲン</t>
    </rPh>
    <rPh sb="18" eb="20">
      <t>コウリツ</t>
    </rPh>
    <rPh sb="21" eb="23">
      <t>コウジョウ</t>
    </rPh>
    <rPh sb="24" eb="26">
      <t>ユウコウ</t>
    </rPh>
    <rPh sb="27" eb="30">
      <t>ミリヨウ</t>
    </rPh>
    <rPh sb="30" eb="31">
      <t>ネツ</t>
    </rPh>
    <rPh sb="36" eb="38">
      <t>ケイカク</t>
    </rPh>
    <rPh sb="43" eb="44">
      <t>コト</t>
    </rPh>
    <rPh sb="46" eb="47">
      <t>レイ</t>
    </rPh>
    <rPh sb="48" eb="49">
      <t>イ</t>
    </rPh>
    <rPh sb="49" eb="50">
      <t>スイ</t>
    </rPh>
    <rPh sb="50" eb="52">
      <t>リヨウ</t>
    </rPh>
    <rPh sb="59" eb="61">
      <t>カセン</t>
    </rPh>
    <rPh sb="61" eb="62">
      <t>スイ</t>
    </rPh>
    <rPh sb="62" eb="64">
      <t>リヨウ</t>
    </rPh>
    <phoneticPr fontId="21"/>
  </si>
  <si>
    <t>その他：その他，自然を活用した有効なシステムが計画されている事。</t>
    <rPh sb="30" eb="31">
      <t>コト</t>
    </rPh>
    <phoneticPr fontId="21"/>
  </si>
  <si>
    <t>高評価根拠資料一覧</t>
    <rPh sb="0" eb="3">
      <t>コウヒョウカ</t>
    </rPh>
    <rPh sb="3" eb="5">
      <t>コンキョ</t>
    </rPh>
    <rPh sb="5" eb="7">
      <t>シリョウ</t>
    </rPh>
    <rPh sb="7" eb="9">
      <t>イチラン</t>
    </rPh>
    <phoneticPr fontId="21"/>
  </si>
  <si>
    <t>環境配慮設計の概要記入欄</t>
    <rPh sb="0" eb="2">
      <t>カンキョウ</t>
    </rPh>
    <rPh sb="2" eb="4">
      <t>ハイリョ</t>
    </rPh>
    <rPh sb="4" eb="6">
      <t>セッケイ</t>
    </rPh>
    <rPh sb="7" eb="9">
      <t>ガイヨウ</t>
    </rPh>
    <rPh sb="9" eb="11">
      <t>キニュウ</t>
    </rPh>
    <rPh sb="11" eb="12">
      <t>ラン</t>
    </rPh>
    <phoneticPr fontId="21"/>
  </si>
  <si>
    <t>根拠資料</t>
    <rPh sb="0" eb="2">
      <t>コンキョ</t>
    </rPh>
    <rPh sb="2" eb="4">
      <t>シリョウ</t>
    </rPh>
    <phoneticPr fontId="21"/>
  </si>
  <si>
    <t>図面番号</t>
    <rPh sb="0" eb="2">
      <t>ズメン</t>
    </rPh>
    <rPh sb="2" eb="4">
      <t>バンゴウ</t>
    </rPh>
    <phoneticPr fontId="21"/>
  </si>
  <si>
    <t>Q1/1.1</t>
    <phoneticPr fontId="21"/>
  </si>
  <si>
    <t>Q1/1.2.1</t>
    <phoneticPr fontId="21"/>
  </si>
  <si>
    <t>Q1/1.2.2</t>
    <phoneticPr fontId="21"/>
  </si>
  <si>
    <t>Q1/1.2.3</t>
    <phoneticPr fontId="21"/>
  </si>
  <si>
    <t>Q1/1.2.4</t>
    <phoneticPr fontId="21"/>
  </si>
  <si>
    <t>Q1/1.3</t>
    <phoneticPr fontId="21"/>
  </si>
  <si>
    <t>Q1/2.1.1</t>
    <phoneticPr fontId="21"/>
  </si>
  <si>
    <t>Q1/2.1.2</t>
    <phoneticPr fontId="21"/>
  </si>
  <si>
    <t>Q1/2.1.3</t>
    <phoneticPr fontId="21"/>
  </si>
  <si>
    <t>Q1/2.2</t>
    <phoneticPr fontId="21"/>
  </si>
  <si>
    <t>Q1/2.3</t>
    <phoneticPr fontId="21"/>
  </si>
  <si>
    <t>Q1/3.1.1</t>
    <phoneticPr fontId="21"/>
  </si>
  <si>
    <t>Q1/3.1.2</t>
    <phoneticPr fontId="21"/>
  </si>
  <si>
    <t>Q1/3.1.3</t>
    <phoneticPr fontId="21"/>
  </si>
  <si>
    <t>Q1/3.2.1</t>
    <phoneticPr fontId="21"/>
  </si>
  <si>
    <t>Q1/3.3</t>
    <phoneticPr fontId="21"/>
  </si>
  <si>
    <t>Q1/3.4</t>
    <phoneticPr fontId="21"/>
  </si>
  <si>
    <t>Q1/4.1.1</t>
    <phoneticPr fontId="21"/>
  </si>
  <si>
    <t>Q1/4.1.2</t>
    <phoneticPr fontId="21"/>
  </si>
  <si>
    <t>Q1/4.2.1</t>
    <phoneticPr fontId="21"/>
  </si>
  <si>
    <t>Q1/4.2.2</t>
    <phoneticPr fontId="21"/>
  </si>
  <si>
    <t>Q1/4.2.3</t>
    <phoneticPr fontId="21"/>
  </si>
  <si>
    <t>Q1/4.3.1</t>
    <phoneticPr fontId="21"/>
  </si>
  <si>
    <t>Q1/4.3.2</t>
    <phoneticPr fontId="21"/>
  </si>
  <si>
    <t>Q2/1.1.1</t>
    <phoneticPr fontId="21"/>
  </si>
  <si>
    <t>Q2/1.1.2</t>
    <phoneticPr fontId="21"/>
  </si>
  <si>
    <t>Q2/1.1.3</t>
    <phoneticPr fontId="21"/>
  </si>
  <si>
    <t>Q2/1.2.1</t>
    <phoneticPr fontId="21"/>
  </si>
  <si>
    <t>Q2/1.2.2</t>
    <phoneticPr fontId="21"/>
  </si>
  <si>
    <t>Q2/1.2.3</t>
    <phoneticPr fontId="21"/>
  </si>
  <si>
    <t>Q2/1.3.1</t>
    <phoneticPr fontId="21"/>
  </si>
  <si>
    <t>Q2/1.3.3</t>
    <phoneticPr fontId="21"/>
  </si>
  <si>
    <t>Q2/1.3.2</t>
    <phoneticPr fontId="21"/>
  </si>
  <si>
    <t>Q2/2.1.1</t>
    <phoneticPr fontId="21"/>
  </si>
  <si>
    <t>Q2/2.1.2</t>
    <phoneticPr fontId="21"/>
  </si>
  <si>
    <t>Q2/2.2.1</t>
    <phoneticPr fontId="21"/>
  </si>
  <si>
    <t>Q2/2.2.2</t>
    <phoneticPr fontId="21"/>
  </si>
  <si>
    <t>Q2/2.2.3</t>
    <phoneticPr fontId="21"/>
  </si>
  <si>
    <t>Q2/2.2.4</t>
    <phoneticPr fontId="21"/>
  </si>
  <si>
    <t>Q2/2.2.5</t>
    <phoneticPr fontId="21"/>
  </si>
  <si>
    <t>Q2/2.2.6</t>
    <phoneticPr fontId="21"/>
  </si>
  <si>
    <t>Q2/2.4.1</t>
    <phoneticPr fontId="21"/>
  </si>
  <si>
    <t>Q2/2.4.2</t>
    <phoneticPr fontId="21"/>
  </si>
  <si>
    <t>Q2/2.4.3</t>
    <phoneticPr fontId="21"/>
  </si>
  <si>
    <t>Q2/2.4.4</t>
    <phoneticPr fontId="21"/>
  </si>
  <si>
    <t>Q2/2.4.5</t>
    <phoneticPr fontId="21"/>
  </si>
  <si>
    <t>Q2/3.1.1</t>
    <phoneticPr fontId="21"/>
  </si>
  <si>
    <t>Q2/3.1.2</t>
    <phoneticPr fontId="21"/>
  </si>
  <si>
    <t>Q2/3.2</t>
    <phoneticPr fontId="21"/>
  </si>
  <si>
    <t>Q2/3.3.1</t>
    <phoneticPr fontId="21"/>
  </si>
  <si>
    <t>Q2/3.3.2</t>
    <phoneticPr fontId="21"/>
  </si>
  <si>
    <t>Q2/3.3.3</t>
    <phoneticPr fontId="21"/>
  </si>
  <si>
    <t>Q2/3.3.4</t>
    <phoneticPr fontId="21"/>
  </si>
  <si>
    <t>Q2/3.3.5</t>
    <phoneticPr fontId="21"/>
  </si>
  <si>
    <t>Q2/3.3.6</t>
    <phoneticPr fontId="21"/>
  </si>
  <si>
    <t>Q3/1</t>
    <phoneticPr fontId="21"/>
  </si>
  <si>
    <t>Q3/2</t>
    <phoneticPr fontId="21"/>
  </si>
  <si>
    <t>Q3/3.1</t>
    <phoneticPr fontId="21"/>
  </si>
  <si>
    <t>Q3/3.2</t>
    <phoneticPr fontId="21"/>
  </si>
  <si>
    <t>LR1/1</t>
    <phoneticPr fontId="21"/>
  </si>
  <si>
    <t>LR1/2</t>
    <phoneticPr fontId="21"/>
  </si>
  <si>
    <t>LR3/1</t>
    <phoneticPr fontId="21"/>
  </si>
  <si>
    <t>LR3/2.1</t>
    <phoneticPr fontId="21"/>
  </si>
  <si>
    <t>LR3/2.2</t>
    <phoneticPr fontId="21"/>
  </si>
  <si>
    <t>LR3/2.3.1</t>
    <phoneticPr fontId="21"/>
  </si>
  <si>
    <t>LR3/2.3.2</t>
    <phoneticPr fontId="21"/>
  </si>
  <si>
    <t>LR3/2.3.3</t>
    <phoneticPr fontId="21"/>
  </si>
  <si>
    <t>LR3/2.3.4</t>
    <phoneticPr fontId="21"/>
  </si>
  <si>
    <t>LR3/3.1.1</t>
    <phoneticPr fontId="21"/>
  </si>
  <si>
    <t>LR3/3.1.2</t>
    <phoneticPr fontId="21"/>
  </si>
  <si>
    <t>LR3/3.1.3</t>
    <phoneticPr fontId="21"/>
  </si>
  <si>
    <t>LR3/3.2.1</t>
    <phoneticPr fontId="21"/>
  </si>
  <si>
    <t>LR3/3.2.2</t>
    <phoneticPr fontId="21"/>
  </si>
  <si>
    <t>LR3/3.2.3</t>
    <phoneticPr fontId="21"/>
  </si>
  <si>
    <t>LR3/3.3.1</t>
    <phoneticPr fontId="21"/>
  </si>
  <si>
    <t>LR3/3.3.2</t>
    <phoneticPr fontId="21"/>
  </si>
  <si>
    <t>　LR1/　2　自然エネルギー利用</t>
    <rPh sb="8" eb="10">
      <t>シゼン</t>
    </rPh>
    <rPh sb="15" eb="17">
      <t>リヨウ</t>
    </rPh>
    <phoneticPr fontId="21"/>
  </si>
  <si>
    <t>「持続可能な森林から産出された木材」のうち、地域産木材を使用している。</t>
    <rPh sb="28" eb="30">
      <t>シヨウ</t>
    </rPh>
    <phoneticPr fontId="21"/>
  </si>
  <si>
    <t>京都重点項目による加点により、レベル5を超える。</t>
    <rPh sb="0" eb="2">
      <t>キョウト</t>
    </rPh>
    <rPh sb="2" eb="4">
      <t>ジュウテン</t>
    </rPh>
    <rPh sb="4" eb="6">
      <t>コウモク</t>
    </rPh>
    <rPh sb="9" eb="11">
      <t>カテン</t>
    </rPh>
    <rPh sb="20" eb="21">
      <t>コ</t>
    </rPh>
    <phoneticPr fontId="21"/>
  </si>
  <si>
    <t>格子状ルーバーや簾状スクリーンによりガラス面等の反射光を抑制している，または外壁に反射率の低い自然素材を採用している等の推奨内容の取組みを，１以上実施している。</t>
    <phoneticPr fontId="21"/>
  </si>
  <si>
    <t>「持続可能な森林から産出された木材」のうち、地域産木材を使用している。</t>
    <phoneticPr fontId="21"/>
  </si>
  <si>
    <t>デザインされた格子状ルーバーやライトシェルフ，軒，庇等，推奨内容の昼光利用設備を採用している。</t>
    <phoneticPr fontId="21"/>
  </si>
  <si>
    <t>デザインされた格子状ルーバーやライトシェルフ，軒，庇等，推奨内容の昼光利用設備を採用している。</t>
    <phoneticPr fontId="21"/>
  </si>
  <si>
    <t>評価する取組みのうち、何れかの手法が採用されている。（但し、モニュメントの計画を除く）</t>
    <rPh sb="0" eb="2">
      <t>ヒョウカ</t>
    </rPh>
    <rPh sb="4" eb="5">
      <t>ト</t>
    </rPh>
    <rPh sb="5" eb="6">
      <t>ク</t>
    </rPh>
    <rPh sb="11" eb="12">
      <t>イズ</t>
    </rPh>
    <rPh sb="15" eb="17">
      <t>シュホウ</t>
    </rPh>
    <rPh sb="18" eb="20">
      <t>サイヨウ</t>
    </rPh>
    <rPh sb="27" eb="28">
      <t>タダ</t>
    </rPh>
    <rPh sb="37" eb="39">
      <t>ケイカク</t>
    </rPh>
    <rPh sb="40" eb="41">
      <t>ノゾ</t>
    </rPh>
    <phoneticPr fontId="21"/>
  </si>
  <si>
    <t>上記の内容に加え、利用量が15MJ/㎡・年以上となる場合。</t>
    <rPh sb="0" eb="2">
      <t>ジョウキ</t>
    </rPh>
    <rPh sb="3" eb="5">
      <t>ナイヨウ</t>
    </rPh>
    <rPh sb="6" eb="7">
      <t>クワ</t>
    </rPh>
    <rPh sb="9" eb="11">
      <t>リヨウ</t>
    </rPh>
    <rPh sb="11" eb="12">
      <t>リョウ</t>
    </rPh>
    <rPh sb="20" eb="23">
      <t>ネンイジョウ</t>
    </rPh>
    <rPh sb="26" eb="28">
      <t>バアイ</t>
    </rPh>
    <phoneticPr fontId="21"/>
  </si>
  <si>
    <t>気温上昇の抑制に努めるため
　・標準的な工夫をしている場合(1ポイント)
　・中間的な工夫をしている場合(2ポイント)
　・全面的な工夫をしている場合(3ポイント)
住宅用途の場合は3ポイントとする。複合用途の場合は，住宅用途部分と非住宅用途部分のポイントから，延べ床面積比率を考慮して適切なポイントを設定する。</t>
    <phoneticPr fontId="21"/>
  </si>
  <si>
    <t>Q1/3.2.1</t>
    <phoneticPr fontId="21"/>
  </si>
  <si>
    <t>　Q1/　3.2.1　昼光制御</t>
    <rPh sb="11" eb="13">
      <t>チュウコウ</t>
    </rPh>
    <rPh sb="13" eb="15">
      <t>セイギョ</t>
    </rPh>
    <phoneticPr fontId="21"/>
  </si>
  <si>
    <t>※高評価項目が自動的に抽出されます。着色されている欄を記入の上，提出して下さい。</t>
    <rPh sb="1" eb="4">
      <t>コウヒョウカ</t>
    </rPh>
    <rPh sb="4" eb="6">
      <t>コウモク</t>
    </rPh>
    <rPh sb="7" eb="10">
      <t>ジドウテキ</t>
    </rPh>
    <rPh sb="11" eb="13">
      <t>チュウシュツ</t>
    </rPh>
    <rPh sb="18" eb="20">
      <t>チャクショク</t>
    </rPh>
    <rPh sb="25" eb="26">
      <t>ラン</t>
    </rPh>
    <rPh sb="27" eb="29">
      <t>キニュウ</t>
    </rPh>
    <rPh sb="30" eb="31">
      <t>ウエ</t>
    </rPh>
    <rPh sb="32" eb="34">
      <t>テイシュツ</t>
    </rPh>
    <rPh sb="36" eb="37">
      <t>クダ</t>
    </rPh>
    <phoneticPr fontId="21"/>
  </si>
  <si>
    <t>Q1/1.2.1</t>
    <phoneticPr fontId="21"/>
  </si>
  <si>
    <t>全てのサッシにT-2以上を採用</t>
    <rPh sb="0" eb="1">
      <t>スベ</t>
    </rPh>
    <rPh sb="10" eb="12">
      <t>イジョウ</t>
    </rPh>
    <rPh sb="13" eb="15">
      <t>サイヨウ</t>
    </rPh>
    <phoneticPr fontId="21"/>
  </si>
  <si>
    <t>特記仕様書</t>
    <rPh sb="0" eb="2">
      <t>トッキ</t>
    </rPh>
    <rPh sb="2" eb="5">
      <t>シヨウショ</t>
    </rPh>
    <phoneticPr fontId="21"/>
  </si>
  <si>
    <t>A-1</t>
    <phoneticPr fontId="21"/>
  </si>
  <si>
    <t>LR2/3.1</t>
    <phoneticPr fontId="21"/>
  </si>
  <si>
    <t>PRTR法対象物質を含有しない建材採用</t>
    <rPh sb="4" eb="5">
      <t>ホウ</t>
    </rPh>
    <rPh sb="5" eb="7">
      <t>タイショウ</t>
    </rPh>
    <rPh sb="7" eb="9">
      <t>ブッシツ</t>
    </rPh>
    <rPh sb="10" eb="12">
      <t>ガンユウ</t>
    </rPh>
    <rPh sb="15" eb="17">
      <t>ケンザイ</t>
    </rPh>
    <rPh sb="17" eb="19">
      <t>サイヨウ</t>
    </rPh>
    <phoneticPr fontId="21"/>
  </si>
  <si>
    <t>MSDSシート</t>
    <phoneticPr fontId="21"/>
  </si>
  <si>
    <t>別添１</t>
    <rPh sb="0" eb="2">
      <t>ベッテン</t>
    </rPh>
    <phoneticPr fontId="21"/>
  </si>
  <si>
    <t xml:space="preserve">注）　設計における総合的なコンセプトを簡潔に記載してください。
</t>
    <rPh sb="3" eb="5">
      <t>セッケイ</t>
    </rPh>
    <phoneticPr fontId="21"/>
  </si>
  <si>
    <t xml:space="preserve">注）　「Q1　室内環境」に対する配慮事項を簡潔に記載してください。
</t>
    <rPh sb="16" eb="18">
      <t>ハイリョ</t>
    </rPh>
    <rPh sb="18" eb="20">
      <t>ジコウ</t>
    </rPh>
    <phoneticPr fontId="21"/>
  </si>
  <si>
    <t xml:space="preserve">注）　「Q3　室外環境（敷地内）」に対する配慮事項を簡潔に記載してください。
</t>
    <phoneticPr fontId="21"/>
  </si>
  <si>
    <t xml:space="preserve">注）　「LR1　エネルギー」に対する配慮事項を簡潔に記載してください。
</t>
    <phoneticPr fontId="21"/>
  </si>
  <si>
    <t xml:space="preserve">注）　「LR2　資源・マテリアル」に対する配慮事項を簡潔に記載してください。
</t>
    <phoneticPr fontId="21"/>
  </si>
  <si>
    <t xml:space="preserve">注）　上記の６つのカテゴリー以外に，建設工事における廃棄物削減・リサイクル，歴史的建造物の保存など，建物自体の環境性能としてＣＡＳＢＥＥで評価し難い環境配慮の取組みがあれば，ここに記載してください。
</t>
    <rPh sb="18" eb="20">
      <t>ケンセツ</t>
    </rPh>
    <rPh sb="45" eb="47">
      <t>ホゾン</t>
    </rPh>
    <phoneticPr fontId="21"/>
  </si>
  <si>
    <t>主要構造部が木造躯体である場合で，「持続可能な森林から産出された木材」を使用しており，うち地域産木材を使用している。</t>
    <phoneticPr fontId="21"/>
  </si>
  <si>
    <t>主要構造部に使用した「持続可能な森林から産出された木材」のうち，地域産木材を使用している。</t>
    <phoneticPr fontId="21"/>
  </si>
  <si>
    <t>主要構造部に使用した「持続可能な森林から産出された木材」のうち，地域産木材を使用している。</t>
    <phoneticPr fontId="21"/>
  </si>
  <si>
    <t>京都市○○区○○</t>
    <rPh sb="0" eb="3">
      <t>キョウトシ</t>
    </rPh>
    <rPh sb="5" eb="6">
      <t>ク</t>
    </rPh>
    <phoneticPr fontId="21"/>
  </si>
  <si>
    <t>LR1/3</t>
    <phoneticPr fontId="21"/>
  </si>
  <si>
    <t>LR1/4.1</t>
    <phoneticPr fontId="21"/>
  </si>
  <si>
    <t>LR1/4.2</t>
    <phoneticPr fontId="21"/>
  </si>
  <si>
    <t>NC</t>
    <phoneticPr fontId="21"/>
  </si>
  <si>
    <t>EB</t>
    <phoneticPr fontId="21"/>
  </si>
  <si>
    <t>TC</t>
    <phoneticPr fontId="21"/>
  </si>
  <si>
    <t>IS</t>
    <phoneticPr fontId="21"/>
  </si>
  <si>
    <r>
      <t>CASBEE-短期使用</t>
    </r>
    <r>
      <rPr>
        <sz val="9"/>
        <rFont val="Arial"/>
        <family val="2"/>
      </rPr>
      <t>2018</t>
    </r>
    <r>
      <rPr>
        <sz val="9"/>
        <rFont val="ＭＳ Ｐゴシック"/>
        <family val="3"/>
        <charset val="128"/>
      </rPr>
      <t>年版</t>
    </r>
    <rPh sb="7" eb="9">
      <t>タンキ</t>
    </rPh>
    <rPh sb="9" eb="11">
      <t>シヨウ</t>
    </rPh>
    <rPh sb="15" eb="16">
      <t>ネン</t>
    </rPh>
    <rPh sb="16" eb="17">
      <t>バン</t>
    </rPh>
    <phoneticPr fontId="21"/>
  </si>
  <si>
    <r>
      <t>CASBEE-</t>
    </r>
    <r>
      <rPr>
        <sz val="9"/>
        <rFont val="ＭＳ Ｐゴシック"/>
        <family val="3"/>
        <charset val="128"/>
      </rPr>
      <t>ｲﾝﾃﾘｱｽﾍﾟｰｽ</t>
    </r>
    <r>
      <rPr>
        <sz val="9"/>
        <rFont val="Arial"/>
        <family val="2"/>
      </rPr>
      <t>2018</t>
    </r>
    <r>
      <rPr>
        <sz val="9"/>
        <rFont val="ＭＳ Ｐゴシック"/>
        <family val="3"/>
        <charset val="128"/>
      </rPr>
      <t>年版</t>
    </r>
    <rPh sb="21" eb="22">
      <t>ネン</t>
    </rPh>
    <rPh sb="22" eb="23">
      <t>バン</t>
    </rPh>
    <phoneticPr fontId="21"/>
  </si>
  <si>
    <r>
      <t>CASBEE-京都-</t>
    </r>
    <r>
      <rPr>
        <sz val="9"/>
        <rFont val="ＭＳ Ｐゴシック"/>
        <family val="3"/>
        <charset val="128"/>
      </rPr>
      <t>建築</t>
    </r>
    <r>
      <rPr>
        <sz val="9"/>
        <rFont val="Arial"/>
        <family val="2"/>
      </rPr>
      <t>(</t>
    </r>
    <r>
      <rPr>
        <sz val="9"/>
        <rFont val="ＭＳ Ｐゴシック"/>
        <family val="3"/>
        <charset val="128"/>
      </rPr>
      <t>既存</t>
    </r>
    <r>
      <rPr>
        <sz val="9"/>
        <rFont val="Arial"/>
        <family val="2"/>
      </rPr>
      <t>)2018</t>
    </r>
    <r>
      <rPr>
        <sz val="9"/>
        <rFont val="ＭＳ Ｐゴシック"/>
        <family val="3"/>
        <charset val="128"/>
      </rPr>
      <t>年版</t>
    </r>
    <rPh sb="7" eb="9">
      <t>キョウト</t>
    </rPh>
    <rPh sb="10" eb="12">
      <t>ケンチク</t>
    </rPh>
    <rPh sb="13" eb="15">
      <t>キゾン</t>
    </rPh>
    <rPh sb="20" eb="21">
      <t>ネン</t>
    </rPh>
    <rPh sb="21" eb="22">
      <t>バン</t>
    </rPh>
    <phoneticPr fontId="21"/>
  </si>
  <si>
    <r>
      <t>CASBEE</t>
    </r>
    <r>
      <rPr>
        <b/>
        <sz val="10"/>
        <rFont val="ＭＳ Ｐゴシック"/>
        <family val="3"/>
        <charset val="128"/>
      </rPr>
      <t>京都</t>
    </r>
    <r>
      <rPr>
        <b/>
        <sz val="10"/>
        <rFont val="Arial"/>
        <family val="2"/>
      </rPr>
      <t>-</t>
    </r>
    <r>
      <rPr>
        <b/>
        <sz val="10"/>
        <rFont val="ＭＳ Ｐゴシック"/>
        <family val="3"/>
        <charset val="128"/>
      </rPr>
      <t>新築</t>
    </r>
    <r>
      <rPr>
        <b/>
        <sz val="10"/>
        <rFont val="Arial"/>
        <family val="2"/>
      </rPr>
      <t>2018</t>
    </r>
    <r>
      <rPr>
        <b/>
        <sz val="10"/>
        <rFont val="ＭＳ Ｐゴシック"/>
        <family val="3"/>
        <charset val="128"/>
      </rPr>
      <t>（</t>
    </r>
    <r>
      <rPr>
        <b/>
        <sz val="10"/>
        <rFont val="Arial"/>
        <family val="2"/>
      </rPr>
      <t>v.1.0</t>
    </r>
    <r>
      <rPr>
        <b/>
        <sz val="10"/>
        <rFont val="ＭＳ Ｐゴシック"/>
        <family val="3"/>
        <charset val="128"/>
      </rPr>
      <t>）</t>
    </r>
    <phoneticPr fontId="21"/>
  </si>
  <si>
    <r>
      <t>CASBEE-京都-</t>
    </r>
    <r>
      <rPr>
        <sz val="9"/>
        <rFont val="ＭＳ Ｐゴシック"/>
        <family val="3"/>
        <charset val="128"/>
      </rPr>
      <t>建築</t>
    </r>
    <r>
      <rPr>
        <sz val="9"/>
        <rFont val="Arial"/>
        <family val="2"/>
      </rPr>
      <t>(</t>
    </r>
    <r>
      <rPr>
        <sz val="9"/>
        <rFont val="ＭＳ Ｐゴシック"/>
        <family val="3"/>
        <charset val="128"/>
      </rPr>
      <t>新築</t>
    </r>
    <r>
      <rPr>
        <sz val="9"/>
        <rFont val="Arial"/>
        <family val="2"/>
      </rPr>
      <t>)2018</t>
    </r>
    <r>
      <rPr>
        <sz val="9"/>
        <rFont val="ＭＳ Ｐゴシック"/>
        <family val="3"/>
        <charset val="128"/>
      </rPr>
      <t>年版</t>
    </r>
    <rPh sb="7" eb="9">
      <t>キョウト</t>
    </rPh>
    <rPh sb="10" eb="12">
      <t>ケンチク</t>
    </rPh>
    <rPh sb="13" eb="15">
      <t>シンチク</t>
    </rPh>
    <rPh sb="20" eb="21">
      <t>ネン</t>
    </rPh>
    <rPh sb="21" eb="22">
      <t>バン</t>
    </rPh>
    <phoneticPr fontId="21"/>
  </si>
  <si>
    <t>■ 建物名称</t>
    <rPh sb="2" eb="4">
      <t>ﾀﾃﾓﾉ</t>
    </rPh>
    <rPh sb="4" eb="6">
      <t>ﾒｲｼｮｳ</t>
    </rPh>
    <phoneticPr fontId="35" type="noConversion"/>
  </si>
  <si>
    <t>■ 建設地・地域区分</t>
    <rPh sb="2" eb="5">
      <t>ｹﾝｾﾂﾁ</t>
    </rPh>
    <rPh sb="6" eb="8">
      <t>ちいき</t>
    </rPh>
    <rPh sb="8" eb="10">
      <t>ｸﾌﾞﾝ</t>
    </rPh>
    <phoneticPr fontId="35" type="noConversion"/>
  </si>
  <si>
    <t>■ 地域・地区</t>
    <rPh sb="2" eb="4">
      <t>ﾁｲｷ</t>
    </rPh>
    <rPh sb="5" eb="7">
      <t>ﾁｸ</t>
    </rPh>
    <phoneticPr fontId="35" type="noConversion"/>
  </si>
  <si>
    <t>■ 竣工年 (予定/竣工)</t>
    <rPh sb="2" eb="4">
      <t>ｼｭﾝｺｳ</t>
    </rPh>
    <rPh sb="4" eb="5">
      <t>ﾈﾝ</t>
    </rPh>
    <rPh sb="7" eb="9">
      <t>ﾖﾃｲ</t>
    </rPh>
    <rPh sb="10" eb="12">
      <t>ｼｭﾝｺｳ</t>
    </rPh>
    <phoneticPr fontId="35" type="noConversion"/>
  </si>
  <si>
    <t>2018年6月～8月</t>
    <rPh sb="4" eb="5">
      <t>ネン</t>
    </rPh>
    <rPh sb="6" eb="7">
      <t>ガツ</t>
    </rPh>
    <rPh sb="9" eb="10">
      <t>ガツ</t>
    </rPh>
    <phoneticPr fontId="22"/>
  </si>
  <si>
    <t>■ 敷地面積</t>
    <rPh sb="2" eb="4">
      <t>ｼｷﾁ</t>
    </rPh>
    <rPh sb="4" eb="6">
      <t>ﾒﾝｾｷ</t>
    </rPh>
    <phoneticPr fontId="35" type="noConversion"/>
  </si>
  <si>
    <t>■ 建築面積</t>
    <rPh sb="2" eb="4">
      <t>ｹﾝﾁｸ</t>
    </rPh>
    <rPh sb="4" eb="6">
      <t>ﾒﾝｾｷ</t>
    </rPh>
    <phoneticPr fontId="35" type="noConversion"/>
  </si>
  <si>
    <t>■ 延床面積</t>
    <rPh sb="2" eb="3">
      <t>ﾉ</t>
    </rPh>
    <rPh sb="3" eb="6">
      <t>ﾕｶﾒﾝｾｷ</t>
    </rPh>
    <phoneticPr fontId="35" type="noConversion"/>
  </si>
  <si>
    <t>■ 使用期間（開始/終了）</t>
    <rPh sb="2" eb="4">
      <t>ｼﾖｳ</t>
    </rPh>
    <rPh sb="4" eb="6">
      <t>ｷｶﾝ</t>
    </rPh>
    <rPh sb="7" eb="9">
      <t>ｶｲｼ</t>
    </rPh>
    <rPh sb="10" eb="12">
      <t>ｼｭｳﾘｮｳ</t>
    </rPh>
    <phoneticPr fontId="35" type="noConversion"/>
  </si>
  <si>
    <t>■ 建物用途名</t>
    <rPh sb="2" eb="4">
      <t>タテモノ</t>
    </rPh>
    <rPh sb="4" eb="6">
      <t>ヨウト</t>
    </rPh>
    <rPh sb="6" eb="7">
      <t>メイ</t>
    </rPh>
    <phoneticPr fontId="22"/>
  </si>
  <si>
    <t>■ 階数</t>
    <rPh sb="2" eb="4">
      <t>カイスウ</t>
    </rPh>
    <phoneticPr fontId="22"/>
  </si>
  <si>
    <t>■ 構造</t>
    <rPh sb="2" eb="4">
      <t>コウゾウ</t>
    </rPh>
    <phoneticPr fontId="22"/>
  </si>
  <si>
    <t>② 評価対象概要</t>
    <rPh sb="2" eb="4">
      <t>ヒョウカ</t>
    </rPh>
    <rPh sb="4" eb="6">
      <t>タイショウ</t>
    </rPh>
    <rPh sb="6" eb="8">
      <t>ガイヨウ</t>
    </rPh>
    <phoneticPr fontId="21"/>
  </si>
  <si>
    <t>■ 評価対象名称</t>
    <rPh sb="2" eb="4">
      <t>ﾋｮｳｶ</t>
    </rPh>
    <rPh sb="4" eb="6">
      <t>ﾀｲｼｮｳ</t>
    </rPh>
    <rPh sb="6" eb="8">
      <t>ﾒｲｼｮｳ</t>
    </rPh>
    <phoneticPr fontId="34" type="noConversion"/>
  </si>
  <si>
    <t>○○サービス</t>
    <phoneticPr fontId="21"/>
  </si>
  <si>
    <t>■ 評価対象用途</t>
    <rPh sb="2" eb="4">
      <t>ﾋｮｳｶ</t>
    </rPh>
    <rPh sb="4" eb="6">
      <t>ﾀｲｼｮｳ</t>
    </rPh>
    <rPh sb="6" eb="8">
      <t>ﾖｳﾄ</t>
    </rPh>
    <phoneticPr fontId="34" type="noConversion"/>
  </si>
  <si>
    <t>○○</t>
    <phoneticPr fontId="21"/>
  </si>
  <si>
    <t>■ 使用開始</t>
    <rPh sb="2" eb="4">
      <t>ｼﾖｳ</t>
    </rPh>
    <rPh sb="4" eb="6">
      <t>ｶｲｼ</t>
    </rPh>
    <phoneticPr fontId="34" type="noConversion"/>
  </si>
  <si>
    <t>■ 専用面積</t>
    <rPh sb="2" eb="4">
      <t>ｾﾝﾖｳ</t>
    </rPh>
    <rPh sb="4" eb="6">
      <t>ﾒﾝｾｷ</t>
    </rPh>
    <phoneticPr fontId="34" type="noConversion"/>
  </si>
  <si>
    <t>XXX</t>
    <phoneticPr fontId="21"/>
  </si>
  <si>
    <t>㎡</t>
    <phoneticPr fontId="21"/>
  </si>
  <si>
    <t>■ 専用部の階</t>
    <rPh sb="2" eb="4">
      <t>ｾﾝﾖｳ</t>
    </rPh>
    <rPh sb="4" eb="5">
      <t>ﾌﾞ</t>
    </rPh>
    <rPh sb="6" eb="7">
      <t>ｶｲ</t>
    </rPh>
    <phoneticPr fontId="34" type="noConversion"/>
  </si>
  <si>
    <t>地上○○F～○○F</t>
    <rPh sb="0" eb="2">
      <t>チジョウ</t>
    </rPh>
    <phoneticPr fontId="21"/>
  </si>
  <si>
    <t>■ 平均居住人員</t>
    <rPh sb="2" eb="4">
      <t>ﾍｲｷﾝ</t>
    </rPh>
    <rPh sb="4" eb="6">
      <t>ｷｮｼﾞｭｳ</t>
    </rPh>
    <rPh sb="6" eb="8">
      <t>ｼﾞﾝｲﾝ</t>
    </rPh>
    <phoneticPr fontId="34" type="noConversion"/>
  </si>
  <si>
    <t>XX</t>
    <phoneticPr fontId="21"/>
  </si>
  <si>
    <t>■ 年間使用時間</t>
    <rPh sb="2" eb="4">
      <t>ﾈﾝｶﾝ</t>
    </rPh>
    <rPh sb="4" eb="6">
      <t>ｼﾖｳ</t>
    </rPh>
    <rPh sb="6" eb="8">
      <t>ｼﾞｶﾝ</t>
    </rPh>
    <phoneticPr fontId="34" type="noConversion"/>
  </si>
  <si>
    <t>■ 日平均使用時間</t>
    <rPh sb="2" eb="3">
      <t>ﾋ</t>
    </rPh>
    <rPh sb="3" eb="5">
      <t>ﾍｲｷﾝ</t>
    </rPh>
    <rPh sb="5" eb="7">
      <t>ｼﾖｳ</t>
    </rPh>
    <rPh sb="7" eb="9">
      <t>ｼﾞｶﾝ</t>
    </rPh>
    <phoneticPr fontId="34" type="noConversion"/>
  </si>
  <si>
    <t>時間/日（想定値）</t>
    <rPh sb="0" eb="2">
      <t>ジカン</t>
    </rPh>
    <rPh sb="3" eb="4">
      <t>ニチ</t>
    </rPh>
    <phoneticPr fontId="21"/>
  </si>
  <si>
    <t>年間使用時間</t>
    <rPh sb="0" eb="2">
      <t>ネンカン</t>
    </rPh>
    <rPh sb="2" eb="4">
      <t>シヨウ</t>
    </rPh>
    <rPh sb="4" eb="6">
      <t>ジカン</t>
    </rPh>
    <phoneticPr fontId="22"/>
  </si>
  <si>
    <t>日平均使用時間</t>
    <rPh sb="0" eb="1">
      <t>ニチ</t>
    </rPh>
    <rPh sb="1" eb="3">
      <t>ヘイキン</t>
    </rPh>
    <rPh sb="3" eb="5">
      <t>シヨウ</t>
    </rPh>
    <rPh sb="5" eb="7">
      <t>ジカン</t>
    </rPh>
    <phoneticPr fontId="22"/>
  </si>
  <si>
    <t>短期使用</t>
    <rPh sb="0" eb="2">
      <t>タンキ</t>
    </rPh>
    <rPh sb="2" eb="4">
      <t>シヨウ</t>
    </rPh>
    <phoneticPr fontId="21"/>
  </si>
  <si>
    <t>インテリア</t>
    <phoneticPr fontId="21"/>
  </si>
  <si>
    <t>㎡ 　うち省エネ計画対象面積</t>
    <rPh sb="5" eb="6">
      <t>ショウ</t>
    </rPh>
    <rPh sb="8" eb="10">
      <t>ケイカク</t>
    </rPh>
    <rPh sb="10" eb="12">
      <t>タイショウ</t>
    </rPh>
    <rPh sb="12" eb="14">
      <t>メンセキ</t>
    </rPh>
    <phoneticPr fontId="22"/>
  </si>
  <si>
    <t xml:space="preserve"> 事務所，庁舎，郵便局 など</t>
    <rPh sb="1" eb="3">
      <t>ジム</t>
    </rPh>
    <rPh sb="3" eb="4">
      <t>ショ</t>
    </rPh>
    <rPh sb="5" eb="7">
      <t>チョウシャ</t>
    </rPh>
    <rPh sb="8" eb="11">
      <t>ユウビンキョク</t>
    </rPh>
    <phoneticPr fontId="21"/>
  </si>
  <si>
    <t xml:space="preserve"> 公会堂，集会場，図書館，博物館，ボーリング場，体育館，劇場，映画館，展示施設 など</t>
    <rPh sb="1" eb="4">
      <t>コウカイドウ</t>
    </rPh>
    <rPh sb="5" eb="8">
      <t>シュウカイジョウ</t>
    </rPh>
    <rPh sb="9" eb="12">
      <t>トショカン</t>
    </rPh>
    <rPh sb="13" eb="16">
      <t>ハクブツカン</t>
    </rPh>
    <rPh sb="22" eb="23">
      <t>ジョウ</t>
    </rPh>
    <rPh sb="24" eb="27">
      <t>タイイクカン</t>
    </rPh>
    <rPh sb="28" eb="30">
      <t>ゲキジョウ</t>
    </rPh>
    <rPh sb="31" eb="34">
      <t>エイガカン</t>
    </rPh>
    <rPh sb="35" eb="37">
      <t>テンジ</t>
    </rPh>
    <rPh sb="37" eb="39">
      <t>シセツ</t>
    </rPh>
    <phoneticPr fontId="21"/>
  </si>
  <si>
    <t>地域区分</t>
    <rPh sb="0" eb="2">
      <t>チイキ</t>
    </rPh>
    <phoneticPr fontId="22"/>
  </si>
  <si>
    <t>使用期間</t>
    <rPh sb="0" eb="2">
      <t>シヨウ</t>
    </rPh>
    <rPh sb="2" eb="4">
      <t>キカン</t>
    </rPh>
    <phoneticPr fontId="22"/>
  </si>
  <si>
    <t>RN使用欄</t>
    <rPh sb="2" eb="4">
      <t>シヨウ</t>
    </rPh>
    <rPh sb="4" eb="5">
      <t>ラン</t>
    </rPh>
    <phoneticPr fontId="22"/>
  </si>
  <si>
    <t>↓工場はQ1とQ2の1は対象外の為、入力不要です。</t>
    <rPh sb="1" eb="3">
      <t>コウジョウ</t>
    </rPh>
    <phoneticPr fontId="22"/>
  </si>
  <si>
    <t>評価点</t>
    <rPh sb="0" eb="3">
      <t>ヒョウカテン</t>
    </rPh>
    <phoneticPr fontId="22"/>
  </si>
  <si>
    <t>室内騒音レベル</t>
    <rPh sb="0" eb="2">
      <t>シツナイ</t>
    </rPh>
    <phoneticPr fontId="22"/>
  </si>
  <si>
    <t>室内騒音レベル</t>
    <rPh sb="0" eb="2">
      <t>シツナイ</t>
    </rPh>
    <rPh sb="2" eb="4">
      <t>ソウオン</t>
    </rPh>
    <phoneticPr fontId="22"/>
  </si>
  <si>
    <t>平成26年度の電気事業者別実排出係数等の公表値</t>
    <phoneticPr fontId="21"/>
  </si>
  <si>
    <r>
      <t>(t-CO</t>
    </r>
    <r>
      <rPr>
        <vertAlign val="subscript"/>
        <sz val="10"/>
        <rFont val="ＭＳ Ｐゴシック"/>
        <family val="3"/>
        <charset val="128"/>
      </rPr>
      <t>2</t>
    </r>
    <r>
      <rPr>
        <sz val="10"/>
        <rFont val="ＭＳ Ｐゴシック"/>
        <family val="3"/>
        <charset val="128"/>
      </rPr>
      <t>/kWh)</t>
    </r>
    <phoneticPr fontId="21"/>
  </si>
  <si>
    <t>実排出係数及び代替値</t>
    <phoneticPr fontId="21"/>
  </si>
  <si>
    <t>調整後排出係数</t>
    <phoneticPr fontId="21"/>
  </si>
  <si>
    <t>北海道電力(株)</t>
  </si>
  <si>
    <t>東北電力(株)</t>
  </si>
  <si>
    <t>東京電力(株)</t>
  </si>
  <si>
    <t>中部電力(株)</t>
  </si>
  <si>
    <t>北陸電力(株)</t>
  </si>
  <si>
    <t>関西電力(株)</t>
  </si>
  <si>
    <t>中国電力(株)</t>
  </si>
  <si>
    <t>四国電力(株)</t>
  </si>
  <si>
    <t>九州電力(株)</t>
  </si>
  <si>
    <t>沖縄電力(株)</t>
  </si>
  <si>
    <t>アーバンエナジー(株)</t>
  </si>
  <si>
    <t>アストモスエネルギー(株)</t>
  </si>
  <si>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</si>
  <si>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</si>
  <si>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</si>
  <si>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</si>
  <si>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</si>
  <si>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</si>
  <si>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</si>
  <si>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</si>
  <si>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</si>
  <si>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</si>
  <si>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</si>
  <si>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</si>
  <si>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</si>
  <si>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</si>
  <si>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</si>
  <si>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</si>
  <si>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</si>
  <si>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</si>
  <si>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</si>
  <si>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</si>
  <si>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</si>
  <si>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</si>
  <si>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</si>
  <si>
    <t>(株)サニックス</t>
  </si>
  <si>
    <t>(株)ＣＮＯパワーソリューションズ</t>
  </si>
  <si>
    <t>(株)Ｇ－Ｐｏｗｅｒ</t>
  </si>
  <si>
    <t>(株)新出光</t>
  </si>
  <si>
    <t>(株)トヨタタービンアンドシステム</t>
  </si>
  <si>
    <t>(株)とんでん</t>
  </si>
  <si>
    <t>(株)ナンワエナジー</t>
  </si>
  <si>
    <t>(株)日本セレモニー</t>
  </si>
  <si>
    <t>(株)Ｖ－Ｐｏｗｅｒ</t>
  </si>
  <si>
    <t>(株)フォレストパワー</t>
  </si>
  <si>
    <t>(株)ベイサイドエナジー</t>
  </si>
  <si>
    <t>京葉瓦斯(株)</t>
  </si>
  <si>
    <t>サミットエナジー(株)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</si>
  <si>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</si>
  <si>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</si>
  <si>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</si>
  <si>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</si>
  <si>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</si>
  <si>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</si>
  <si>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</si>
  <si>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</si>
  <si>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</si>
  <si>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</si>
  <si>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</si>
  <si>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</si>
  <si>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</si>
  <si>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</si>
  <si>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</si>
  <si>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</si>
  <si>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</si>
  <si>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</si>
  <si>
    <t>日本アルファ電力(株)</t>
  </si>
  <si>
    <t>日本テクノ(株)</t>
  </si>
  <si>
    <t>パナソニック(株)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</si>
  <si>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</si>
  <si>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</si>
  <si>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</si>
  <si>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</si>
  <si>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</si>
  <si>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</si>
  <si>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</si>
  <si>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</si>
  <si>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1"/>
  </si>
  <si>
    <t>「家庭部門エネルギー種別最終エネルギー消費（平成25年度におけるエネルギー需給実績，資源エネルギー庁）」</t>
    <phoneticPr fontId="21"/>
  </si>
  <si>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1"/>
  </si>
  <si>
    <t>LR1/3 仕様基準評価の場合のCO2排出量算出に用いる一次エネルギー消費量</t>
    <rPh sb="6" eb="8">
      <t>シヨウ</t>
    </rPh>
    <rPh sb="8" eb="10">
      <t>キジュン</t>
    </rPh>
    <rPh sb="10" eb="12">
      <t>ヒョウカ</t>
    </rPh>
    <rPh sb="13" eb="15">
      <t>バアイ</t>
    </rPh>
    <phoneticPr fontId="21"/>
  </si>
  <si>
    <t>LR1/3の</t>
    <phoneticPr fontId="21"/>
  </si>
  <si>
    <r>
      <t>MJ/年m</t>
    </r>
    <r>
      <rPr>
        <vertAlign val="superscript"/>
        <sz val="10"/>
        <rFont val="ＭＳ Ｐゴシック"/>
        <family val="3"/>
        <charset val="128"/>
      </rPr>
      <t>2</t>
    </r>
    <rPh sb="3" eb="4">
      <t>ネン</t>
    </rPh>
    <phoneticPr fontId="22"/>
  </si>
  <si>
    <t>Ａａ0</t>
    <phoneticPr fontId="21"/>
  </si>
  <si>
    <t>Ａａ1</t>
    <phoneticPr fontId="21"/>
  </si>
  <si>
    <t>レベル３</t>
    <phoneticPr fontId="21"/>
  </si>
  <si>
    <t>Ａａ3</t>
    <phoneticPr fontId="21"/>
  </si>
  <si>
    <t>Ａｂ0</t>
    <phoneticPr fontId="21"/>
  </si>
  <si>
    <t>Ａｂ1</t>
    <phoneticPr fontId="21"/>
  </si>
  <si>
    <t>Ａｂ3</t>
    <phoneticPr fontId="21"/>
  </si>
  <si>
    <t>Ｂａ0</t>
    <phoneticPr fontId="21"/>
  </si>
  <si>
    <t>Ｂａ1</t>
    <phoneticPr fontId="21"/>
  </si>
  <si>
    <t>Ｂａ3</t>
    <phoneticPr fontId="21"/>
  </si>
  <si>
    <t>Ｂｂ0</t>
    <phoneticPr fontId="21"/>
  </si>
  <si>
    <t>Ｂｂ1</t>
    <phoneticPr fontId="21"/>
  </si>
  <si>
    <t>Ｂｂ3</t>
    <phoneticPr fontId="21"/>
  </si>
  <si>
    <t>Ｃａ0</t>
    <phoneticPr fontId="21"/>
  </si>
  <si>
    <t>Ｃａ1</t>
    <phoneticPr fontId="21"/>
  </si>
  <si>
    <t>Ｃａ3</t>
    <phoneticPr fontId="21"/>
  </si>
  <si>
    <t>Ｃｂ0</t>
    <phoneticPr fontId="21"/>
  </si>
  <si>
    <t>Ｃｂ1</t>
    <phoneticPr fontId="21"/>
  </si>
  <si>
    <t>Ｃｂ3</t>
    <phoneticPr fontId="21"/>
  </si>
  <si>
    <t>既存躯体100%</t>
    <rPh sb="0" eb="2">
      <t>キソン</t>
    </rPh>
    <rPh sb="2" eb="4">
      <t>クタイ</t>
    </rPh>
    <phoneticPr fontId="22"/>
  </si>
  <si>
    <r>
      <t>(t-CO</t>
    </r>
    <r>
      <rPr>
        <vertAlign val="subscript"/>
        <sz val="11"/>
        <rFont val="ＭＳ Ｐゴシック"/>
        <family val="3"/>
        <charset val="128"/>
      </rPr>
      <t>2</t>
    </r>
    <r>
      <rPr>
        <sz val="11"/>
        <rFont val="ＭＳ Ｐゴシック"/>
        <family val="3"/>
        <charset val="128"/>
      </rPr>
      <t>/kWh)</t>
    </r>
    <phoneticPr fontId="21"/>
  </si>
  <si>
    <t>北海道電力(株)</t>
    <phoneticPr fontId="21"/>
  </si>
  <si>
    <r>
      <t>平成26</t>
    </r>
    <r>
      <rPr>
        <sz val="11"/>
        <rFont val="ＭＳ Ｐゴシック"/>
        <family val="3"/>
        <charset val="128"/>
      </rPr>
      <t>年度の電気事業者別実排出係数等の公表値</t>
    </r>
    <r>
      <rPr>
        <sz val="11"/>
        <rFont val="ＭＳ Ｐゴシック"/>
        <family val="3"/>
        <charset val="128"/>
      </rPr>
      <t xml:space="preserve"> (H27.11.30公表)</t>
    </r>
    <rPh sb="22" eb="23">
      <t>チ</t>
    </rPh>
    <rPh sb="34" eb="36">
      <t>コウヒョウ</t>
    </rPh>
    <phoneticPr fontId="22"/>
  </si>
  <si>
    <t>電気事業者から供給された電気</t>
  </si>
  <si>
    <t>３．短期使用</t>
    <rPh sb="2" eb="4">
      <t>タンキ</t>
    </rPh>
    <rPh sb="4" eb="6">
      <t>シヨウ</t>
    </rPh>
    <phoneticPr fontId="21"/>
  </si>
  <si>
    <t>４．ｲﾝﾃﾘｱｽﾍﾟｰｽ</t>
    <phoneticPr fontId="21"/>
  </si>
  <si>
    <t>ホテル</t>
    <phoneticPr fontId="21"/>
  </si>
  <si>
    <t>病院o</t>
    <phoneticPr fontId="21"/>
  </si>
  <si>
    <t>ホテルo</t>
    <phoneticPr fontId="21"/>
  </si>
  <si>
    <t>集合住宅o</t>
    <phoneticPr fontId="21"/>
  </si>
  <si>
    <t>Q</t>
    <phoneticPr fontId="21"/>
  </si>
  <si>
    <t>建築物の環境品質</t>
    <phoneticPr fontId="21"/>
  </si>
  <si>
    <t>Q1</t>
    <phoneticPr fontId="34" type="noConversion"/>
  </si>
  <si>
    <t>室内環境</t>
    <phoneticPr fontId="21"/>
  </si>
  <si>
    <t>室内環境</t>
    <phoneticPr fontId="21"/>
  </si>
  <si>
    <t>1.2.1</t>
    <phoneticPr fontId="21"/>
  </si>
  <si>
    <t>開口部遮音性能</t>
    <phoneticPr fontId="21"/>
  </si>
  <si>
    <t>1.2.1</t>
    <phoneticPr fontId="21"/>
  </si>
  <si>
    <t>1.2.2</t>
    <phoneticPr fontId="21"/>
  </si>
  <si>
    <t>1.2.3</t>
    <phoneticPr fontId="21"/>
  </si>
  <si>
    <t>1.2.4</t>
    <phoneticPr fontId="21"/>
  </si>
  <si>
    <t>2.1.1</t>
    <phoneticPr fontId="21"/>
  </si>
  <si>
    <t>室温</t>
    <phoneticPr fontId="21"/>
  </si>
  <si>
    <t>2.3.1</t>
    <phoneticPr fontId="21"/>
  </si>
  <si>
    <t>2.3.2</t>
    <phoneticPr fontId="21"/>
  </si>
  <si>
    <t>3.1.1</t>
    <phoneticPr fontId="21"/>
  </si>
  <si>
    <t>3.1.2</t>
    <phoneticPr fontId="21"/>
  </si>
  <si>
    <t>3.1.3</t>
    <phoneticPr fontId="21"/>
  </si>
  <si>
    <t>3.2.1</t>
    <phoneticPr fontId="21"/>
  </si>
  <si>
    <t>3.2.2</t>
    <phoneticPr fontId="21"/>
  </si>
  <si>
    <t>3.2.3</t>
    <phoneticPr fontId="21"/>
  </si>
  <si>
    <t>3.3.1</t>
    <phoneticPr fontId="21"/>
  </si>
  <si>
    <t>照度</t>
    <phoneticPr fontId="21"/>
  </si>
  <si>
    <t>3.3.2</t>
    <phoneticPr fontId="21"/>
  </si>
  <si>
    <t>照度均斉度</t>
    <phoneticPr fontId="21"/>
  </si>
  <si>
    <t>3.3.2</t>
    <phoneticPr fontId="21"/>
  </si>
  <si>
    <t>4.1.1</t>
    <phoneticPr fontId="21"/>
  </si>
  <si>
    <t>4.1.2</t>
    <phoneticPr fontId="21"/>
  </si>
  <si>
    <t>4.1.3</t>
    <phoneticPr fontId="21"/>
  </si>
  <si>
    <t>4.1.4</t>
    <phoneticPr fontId="21"/>
  </si>
  <si>
    <t>4.2.1</t>
    <phoneticPr fontId="21"/>
  </si>
  <si>
    <t>4.2.2</t>
    <phoneticPr fontId="21"/>
  </si>
  <si>
    <t>4.2.3</t>
    <phoneticPr fontId="21"/>
  </si>
  <si>
    <t>4.2.4</t>
    <phoneticPr fontId="21"/>
  </si>
  <si>
    <t>4.3.1</t>
    <phoneticPr fontId="21"/>
  </si>
  <si>
    <t>CO2の監視</t>
    <phoneticPr fontId="21"/>
  </si>
  <si>
    <t>4.3.2</t>
    <phoneticPr fontId="21"/>
  </si>
  <si>
    <t>喫煙の制御</t>
    <phoneticPr fontId="21"/>
  </si>
  <si>
    <t>4.3.2</t>
    <phoneticPr fontId="21"/>
  </si>
  <si>
    <t>Q2</t>
    <phoneticPr fontId="21"/>
  </si>
  <si>
    <t>サービス性能</t>
    <phoneticPr fontId="21"/>
  </si>
  <si>
    <t>1.1.1</t>
    <phoneticPr fontId="21"/>
  </si>
  <si>
    <t>1.1.2</t>
    <phoneticPr fontId="21"/>
  </si>
  <si>
    <t>高度情報通信設備対応</t>
    <phoneticPr fontId="21"/>
  </si>
  <si>
    <t>1.1.2</t>
    <phoneticPr fontId="21"/>
  </si>
  <si>
    <t>1.1.3</t>
    <phoneticPr fontId="21"/>
  </si>
  <si>
    <t>広さ感・景観（天井高）</t>
    <rPh sb="7" eb="9">
      <t>テンジョウ</t>
    </rPh>
    <rPh sb="9" eb="10">
      <t>ダカ</t>
    </rPh>
    <phoneticPr fontId="21"/>
  </si>
  <si>
    <t>1.2.2</t>
  </si>
  <si>
    <t>広さ感・景観（窓）</t>
    <rPh sb="7" eb="8">
      <t>マド</t>
    </rPh>
    <phoneticPr fontId="21"/>
  </si>
  <si>
    <t>1.2.2</t>
    <phoneticPr fontId="21"/>
  </si>
  <si>
    <t>1.2.3</t>
  </si>
  <si>
    <t>1.2.4</t>
  </si>
  <si>
    <t>1.2.5</t>
  </si>
  <si>
    <t>知的生産性向上の取組み</t>
    <rPh sb="0" eb="2">
      <t>チテキ</t>
    </rPh>
    <rPh sb="2" eb="5">
      <t>セイサンセイ</t>
    </rPh>
    <rPh sb="5" eb="7">
      <t>コウジョウ</t>
    </rPh>
    <rPh sb="8" eb="10">
      <t>トリクミ</t>
    </rPh>
    <phoneticPr fontId="21"/>
  </si>
  <si>
    <t>0</t>
    <phoneticPr fontId="21"/>
  </si>
  <si>
    <t>耐震･免震・制震・制振</t>
    <rPh sb="0" eb="2">
      <t>タイシン</t>
    </rPh>
    <rPh sb="3" eb="5">
      <t>メンシン</t>
    </rPh>
    <rPh sb="6" eb="8">
      <t>セイシン</t>
    </rPh>
    <rPh sb="9" eb="11">
      <t>セイシン</t>
    </rPh>
    <phoneticPr fontId="21"/>
  </si>
  <si>
    <t>2.1.1</t>
    <phoneticPr fontId="21"/>
  </si>
  <si>
    <t>2.1.2</t>
    <phoneticPr fontId="21"/>
  </si>
  <si>
    <t>免震・制震・制振性能</t>
    <rPh sb="8" eb="10">
      <t>セイノウ</t>
    </rPh>
    <phoneticPr fontId="21"/>
  </si>
  <si>
    <t>2.2.1</t>
    <phoneticPr fontId="21"/>
  </si>
  <si>
    <t>2.2.1</t>
    <phoneticPr fontId="21"/>
  </si>
  <si>
    <t>2.2.2</t>
    <phoneticPr fontId="21"/>
  </si>
  <si>
    <t>2.2.3</t>
    <phoneticPr fontId="21"/>
  </si>
  <si>
    <t>2.2.4</t>
    <phoneticPr fontId="21"/>
  </si>
  <si>
    <t>2.2.5</t>
    <phoneticPr fontId="21"/>
  </si>
  <si>
    <t>2.2.6</t>
    <phoneticPr fontId="21"/>
  </si>
  <si>
    <t>2.3.1</t>
    <phoneticPr fontId="21"/>
  </si>
  <si>
    <t>2.3.2</t>
    <phoneticPr fontId="21"/>
  </si>
  <si>
    <t>2.3.3</t>
    <phoneticPr fontId="21"/>
  </si>
  <si>
    <t>2.4.1</t>
    <phoneticPr fontId="21"/>
  </si>
  <si>
    <t>3.1.1</t>
    <phoneticPr fontId="21"/>
  </si>
  <si>
    <t>3.3.3</t>
    <phoneticPr fontId="21"/>
  </si>
  <si>
    <t>3.3.4</t>
    <phoneticPr fontId="21"/>
  </si>
  <si>
    <t>3.3.5</t>
    <phoneticPr fontId="21"/>
  </si>
  <si>
    <t>3.3.6</t>
    <phoneticPr fontId="21"/>
  </si>
  <si>
    <t>Q3</t>
    <phoneticPr fontId="21"/>
  </si>
  <si>
    <t>室外環境（敷地内）</t>
    <phoneticPr fontId="21"/>
  </si>
  <si>
    <t>豊かな室外環境</t>
    <rPh sb="0" eb="1">
      <t>ユタ</t>
    </rPh>
    <rPh sb="3" eb="5">
      <t>シツガイ</t>
    </rPh>
    <rPh sb="5" eb="7">
      <t>カンキョウ</t>
    </rPh>
    <phoneticPr fontId="21"/>
  </si>
  <si>
    <t>3.1</t>
    <phoneticPr fontId="21"/>
  </si>
  <si>
    <t>まちなみ・景観への配慮</t>
    <phoneticPr fontId="21"/>
  </si>
  <si>
    <t>地域性・アメニティへの配慮</t>
    <phoneticPr fontId="21"/>
  </si>
  <si>
    <t>3.1</t>
    <phoneticPr fontId="21"/>
  </si>
  <si>
    <t>地域性への配慮、快適性の向上</t>
    <phoneticPr fontId="21"/>
  </si>
  <si>
    <t>3.2</t>
    <phoneticPr fontId="21"/>
  </si>
  <si>
    <t>敷地内温熱環境の向上</t>
    <phoneticPr fontId="21"/>
  </si>
  <si>
    <t>LR</t>
    <phoneticPr fontId="34" type="noConversion"/>
  </si>
  <si>
    <t>LR</t>
    <phoneticPr fontId="34" type="noConversion"/>
  </si>
  <si>
    <t>LR1</t>
    <phoneticPr fontId="34" type="noConversion"/>
  </si>
  <si>
    <t>LR</t>
    <phoneticPr fontId="21"/>
  </si>
  <si>
    <t>エネルギー</t>
    <phoneticPr fontId="21"/>
  </si>
  <si>
    <t>LR1</t>
    <phoneticPr fontId="34" type="noConversion"/>
  </si>
  <si>
    <t>LR</t>
    <phoneticPr fontId="21"/>
  </si>
  <si>
    <t>2.1</t>
    <phoneticPr fontId="21"/>
  </si>
  <si>
    <t>2.2</t>
    <phoneticPr fontId="21"/>
  </si>
  <si>
    <t>3a.3b</t>
    <phoneticPr fontId="21"/>
  </si>
  <si>
    <t>LR1 3</t>
    <phoneticPr fontId="21"/>
  </si>
  <si>
    <t>非住宅部分</t>
    <rPh sb="0" eb="1">
      <t>ﾋ</t>
    </rPh>
    <rPh sb="1" eb="3">
      <t>ｼﾞｭｳﾀｸ</t>
    </rPh>
    <rPh sb="3" eb="5">
      <t>ﾌﾞﾌﾞﾝ</t>
    </rPh>
    <phoneticPr fontId="34" type="noConversion"/>
  </si>
  <si>
    <t>3b.c</t>
    <phoneticPr fontId="21"/>
  </si>
  <si>
    <t>LR1 3b</t>
    <phoneticPr fontId="21"/>
  </si>
  <si>
    <t>住宅以外の評価</t>
    <rPh sb="0" eb="2">
      <t>ｼﾞｭｳﾀｸ</t>
    </rPh>
    <rPh sb="2" eb="4">
      <t>ｲｶﾞｲ</t>
    </rPh>
    <rPh sb="5" eb="7">
      <t>ﾋｮｳｶ</t>
    </rPh>
    <phoneticPr fontId="34" type="noConversion"/>
  </si>
  <si>
    <t>4.1.1</t>
    <phoneticPr fontId="21"/>
  </si>
  <si>
    <t>LR1 4.1</t>
    <phoneticPr fontId="21"/>
  </si>
  <si>
    <t>モニタリング</t>
    <phoneticPr fontId="34" type="noConversion"/>
  </si>
  <si>
    <t>4.1.1</t>
    <phoneticPr fontId="21"/>
  </si>
  <si>
    <t>LR1 4.1</t>
    <phoneticPr fontId="21"/>
  </si>
  <si>
    <t>4.1.2</t>
    <phoneticPr fontId="21"/>
  </si>
  <si>
    <t>住宅の評価</t>
    <rPh sb="0" eb="2">
      <t>ｼﾞｭｳﾀｸ</t>
    </rPh>
    <rPh sb="3" eb="5">
      <t>ﾋｮｳｶ</t>
    </rPh>
    <phoneticPr fontId="34" type="noConversion"/>
  </si>
  <si>
    <t>4.2.1</t>
    <phoneticPr fontId="21"/>
  </si>
  <si>
    <t>LR1 4.2</t>
    <phoneticPr fontId="21"/>
  </si>
  <si>
    <t>モニタリング</t>
    <phoneticPr fontId="3"/>
  </si>
  <si>
    <t>4.2.2</t>
    <phoneticPr fontId="21"/>
  </si>
  <si>
    <t>LR2</t>
    <phoneticPr fontId="34" type="noConversion"/>
  </si>
  <si>
    <t>資源・マテリアル</t>
    <phoneticPr fontId="21"/>
  </si>
  <si>
    <t>1.2.1</t>
    <phoneticPr fontId="21"/>
  </si>
  <si>
    <t>雨水利用システム導入の有無</t>
    <phoneticPr fontId="21"/>
  </si>
  <si>
    <t>1.2.1</t>
    <phoneticPr fontId="21"/>
  </si>
  <si>
    <t>1.2.2</t>
    <phoneticPr fontId="21"/>
  </si>
  <si>
    <t>2.1</t>
    <phoneticPr fontId="21"/>
  </si>
  <si>
    <t>2.2</t>
    <phoneticPr fontId="21"/>
  </si>
  <si>
    <t>2.3</t>
    <phoneticPr fontId="21"/>
  </si>
  <si>
    <t>2.4</t>
    <phoneticPr fontId="21"/>
  </si>
  <si>
    <t>2.5</t>
    <phoneticPr fontId="21"/>
  </si>
  <si>
    <t>持続可能な森林から産出された木材</t>
    <phoneticPr fontId="21"/>
  </si>
  <si>
    <t>2.5</t>
    <phoneticPr fontId="21"/>
  </si>
  <si>
    <t>2.6</t>
    <phoneticPr fontId="21"/>
  </si>
  <si>
    <t>部材の再利用可能性向上への取組み（TC)</t>
    <rPh sb="9" eb="11">
      <t>コウジョウ</t>
    </rPh>
    <rPh sb="13" eb="15">
      <t>トリク</t>
    </rPh>
    <phoneticPr fontId="21"/>
  </si>
  <si>
    <t>2.6.1</t>
    <phoneticPr fontId="21"/>
  </si>
  <si>
    <t>LR2 2.2</t>
    <phoneticPr fontId="21"/>
  </si>
  <si>
    <t>躯体のリサイクル・リユース</t>
    <phoneticPr fontId="21"/>
  </si>
  <si>
    <t>2.6.2</t>
  </si>
  <si>
    <t>屋根材のリサイクル・リユース</t>
    <phoneticPr fontId="21"/>
  </si>
  <si>
    <t>2.6.3</t>
  </si>
  <si>
    <t>外壁材のリサイクル・リユース</t>
    <phoneticPr fontId="21"/>
  </si>
  <si>
    <t>2.6.4</t>
  </si>
  <si>
    <t>内装材のリサイクル・リユース</t>
    <phoneticPr fontId="21"/>
  </si>
  <si>
    <t>2.6.5</t>
  </si>
  <si>
    <t>設備機器のリサイクル・リユース</t>
    <phoneticPr fontId="21"/>
  </si>
  <si>
    <t>2.6.6</t>
  </si>
  <si>
    <t>外構資材のリユース</t>
    <phoneticPr fontId="21"/>
  </si>
  <si>
    <t>LR2 2</t>
    <phoneticPr fontId="21"/>
  </si>
  <si>
    <t>廃棄物発生量の最小化</t>
    <phoneticPr fontId="21"/>
  </si>
  <si>
    <t>3.1</t>
    <phoneticPr fontId="21"/>
  </si>
  <si>
    <t>3.2</t>
    <phoneticPr fontId="21"/>
  </si>
  <si>
    <t>3.2.1</t>
    <phoneticPr fontId="21"/>
  </si>
  <si>
    <t>消火剤</t>
    <phoneticPr fontId="21"/>
  </si>
  <si>
    <t>3.2.2</t>
    <phoneticPr fontId="21"/>
  </si>
  <si>
    <t>発泡剤（断熱材等）</t>
    <phoneticPr fontId="21"/>
  </si>
  <si>
    <t>3.2.3</t>
    <phoneticPr fontId="21"/>
  </si>
  <si>
    <t>LR3</t>
    <phoneticPr fontId="34" type="noConversion"/>
  </si>
  <si>
    <t>敷地外環境</t>
    <phoneticPr fontId="21"/>
  </si>
  <si>
    <t>敷地外環境</t>
    <phoneticPr fontId="21"/>
  </si>
  <si>
    <t>温熱環境悪化の改善</t>
    <phoneticPr fontId="21"/>
  </si>
  <si>
    <t>2.3</t>
    <phoneticPr fontId="21"/>
  </si>
  <si>
    <t>2.3.1</t>
    <phoneticPr fontId="21"/>
  </si>
  <si>
    <t>雨水排水負荷低減</t>
    <phoneticPr fontId="34" type="noConversion"/>
  </si>
  <si>
    <t>2.3.2</t>
    <phoneticPr fontId="21"/>
  </si>
  <si>
    <t>汚水処理負荷抑制</t>
    <phoneticPr fontId="34" type="noConversion"/>
  </si>
  <si>
    <t>2.3.3</t>
    <phoneticPr fontId="21"/>
  </si>
  <si>
    <t>2.3.4</t>
    <phoneticPr fontId="21"/>
  </si>
  <si>
    <t>3.1.1</t>
    <phoneticPr fontId="21"/>
  </si>
  <si>
    <t>3.1.2</t>
    <phoneticPr fontId="21"/>
  </si>
  <si>
    <t>3.1.3</t>
    <phoneticPr fontId="21"/>
  </si>
  <si>
    <t>風害・砂塵、日照阻害の抑制</t>
  </si>
  <si>
    <t>風害の抑制</t>
    <phoneticPr fontId="34" type="noConversion"/>
  </si>
  <si>
    <t>LR3 3.2</t>
    <phoneticPr fontId="21"/>
  </si>
  <si>
    <t>日照阻害の抑制</t>
    <phoneticPr fontId="34" type="noConversion"/>
  </si>
  <si>
    <t>3.3</t>
    <phoneticPr fontId="21"/>
  </si>
  <si>
    <t>3.3</t>
    <phoneticPr fontId="21"/>
  </si>
  <si>
    <t>3.3.1</t>
    <phoneticPr fontId="21"/>
  </si>
  <si>
    <t>屋外照明及び屋内照明のうち外に漏れる光への対策</t>
    <phoneticPr fontId="34" type="noConversion"/>
  </si>
  <si>
    <t>3.3.2</t>
    <phoneticPr fontId="21"/>
  </si>
  <si>
    <t>昼光の建物外壁による反射光（グレア）への対策</t>
    <phoneticPr fontId="34" type="noConversion"/>
  </si>
  <si>
    <t>開口部遮音性能</t>
  </si>
  <si>
    <t>室温</t>
  </si>
  <si>
    <t>照度</t>
  </si>
  <si>
    <t>照度均斉度</t>
  </si>
  <si>
    <t>CO2の監視</t>
  </si>
  <si>
    <t>喫煙の制御</t>
  </si>
  <si>
    <t>サービス性能</t>
  </si>
  <si>
    <t>高度情報通信設備対応</t>
  </si>
  <si>
    <t>室外環境（敷地内）</t>
  </si>
  <si>
    <t>地域性への配慮、快適性の向上</t>
  </si>
  <si>
    <t>敷地内温熱環境の向上</t>
  </si>
  <si>
    <t>エネルギー</t>
  </si>
  <si>
    <t>モニタリング</t>
  </si>
  <si>
    <t>資源・マテリアル</t>
  </si>
  <si>
    <t>雨水利用システム導入の有無</t>
  </si>
  <si>
    <t>消火剤</t>
  </si>
  <si>
    <t>敷地外環境</t>
  </si>
  <si>
    <t>温熱環境悪化の改善</t>
  </si>
  <si>
    <t>雨水排水負荷低減</t>
  </si>
  <si>
    <t>汚水処理負荷抑制</t>
  </si>
  <si>
    <t>風害の抑制</t>
  </si>
  <si>
    <t>日照阻害の抑制</t>
  </si>
  <si>
    <t>屋外照明及び屋内照明のうち外に漏れる光への対策</t>
  </si>
  <si>
    <t>昼光の建物外壁による反射光（グレア）への対策</t>
  </si>
  <si>
    <t>Q1</t>
  </si>
  <si>
    <t>1.2.1</t>
  </si>
  <si>
    <t>2.1.1</t>
  </si>
  <si>
    <t>2.3.1</t>
  </si>
  <si>
    <t>2.3.2</t>
  </si>
  <si>
    <t>3.1.1</t>
  </si>
  <si>
    <t>3.1.2</t>
  </si>
  <si>
    <t>3.1.3</t>
  </si>
  <si>
    <t>3.2.1</t>
  </si>
  <si>
    <t>3.2.2</t>
  </si>
  <si>
    <t>3.3.1</t>
  </si>
  <si>
    <t>3.3.2</t>
  </si>
  <si>
    <t>4.1.1</t>
  </si>
  <si>
    <t>4.1.2</t>
  </si>
  <si>
    <t>4.1.3</t>
  </si>
  <si>
    <t>4.1.4</t>
  </si>
  <si>
    <t>4.2.1</t>
  </si>
  <si>
    <t>4.2.2</t>
  </si>
  <si>
    <t>4.2.3</t>
  </si>
  <si>
    <t>4.2.4</t>
  </si>
  <si>
    <t>4.3.1</t>
  </si>
  <si>
    <t>4.3.2</t>
  </si>
  <si>
    <t>Q2</t>
  </si>
  <si>
    <t>1.1.3</t>
  </si>
  <si>
    <t>0</t>
  </si>
  <si>
    <t>2.2.1</t>
  </si>
  <si>
    <t>2.2.2</t>
  </si>
  <si>
    <t>2.2.3</t>
  </si>
  <si>
    <t>2.2.4</t>
  </si>
  <si>
    <t>2.2.5</t>
  </si>
  <si>
    <t>2.2.6</t>
  </si>
  <si>
    <t>2.3.3</t>
  </si>
  <si>
    <t>2.4.1</t>
  </si>
  <si>
    <t>3.3.3</t>
  </si>
  <si>
    <t>3.3.4</t>
  </si>
  <si>
    <t>3.3.5</t>
  </si>
  <si>
    <t>3.3.6</t>
  </si>
  <si>
    <t>Q3</t>
  </si>
  <si>
    <t>3.1</t>
  </si>
  <si>
    <t>3.2</t>
  </si>
  <si>
    <t>2.1</t>
  </si>
  <si>
    <t>2.2</t>
  </si>
  <si>
    <t>3a.3b</t>
  </si>
  <si>
    <t>LR1 3</t>
  </si>
  <si>
    <t>3b.c</t>
  </si>
  <si>
    <t>LR1 3b</t>
  </si>
  <si>
    <t>LR1 4.1</t>
  </si>
  <si>
    <t>LR1 4.2</t>
  </si>
  <si>
    <t>2.3</t>
  </si>
  <si>
    <t>2.4</t>
  </si>
  <si>
    <t>2.5</t>
  </si>
  <si>
    <t>2.6</t>
  </si>
  <si>
    <t>2.6.1</t>
  </si>
  <si>
    <t>LR2 2.2</t>
  </si>
  <si>
    <t>2.3.4</t>
  </si>
  <si>
    <t>3.3</t>
  </si>
  <si>
    <t>室内騒音レベル</t>
  </si>
  <si>
    <t>室温制御</t>
  </si>
  <si>
    <t>湿度制御</t>
  </si>
  <si>
    <t>空調方式（新築）</t>
  </si>
  <si>
    <t>昼光利用</t>
  </si>
  <si>
    <t>グレア対策</t>
  </si>
  <si>
    <t>照明制御</t>
  </si>
  <si>
    <t>空気質環境</t>
  </si>
  <si>
    <t>発生源対策</t>
  </si>
  <si>
    <t>換気</t>
  </si>
  <si>
    <t>運用管理</t>
  </si>
  <si>
    <t>機能性・使いやすさ</t>
  </si>
  <si>
    <t>心理性・快適性</t>
  </si>
  <si>
    <t>維持管理</t>
  </si>
  <si>
    <t>耐用性・信頼性</t>
  </si>
  <si>
    <t>耐震･免震・制震・制振</t>
  </si>
  <si>
    <t>免震・制震・制振性能</t>
  </si>
  <si>
    <t>部品・部材の耐用年数</t>
  </si>
  <si>
    <t>躯体材料の耐用年数</t>
  </si>
  <si>
    <t>空調換気ダクトの更新必要間隔</t>
  </si>
  <si>
    <t>空調・給排水配管の更新必要間隔</t>
  </si>
  <si>
    <t>適切な更新</t>
  </si>
  <si>
    <t>信頼性</t>
  </si>
  <si>
    <t>バックアップスペースの確保</t>
  </si>
  <si>
    <t>生物資源の保全と創出</t>
  </si>
  <si>
    <t>建築物の環境負荷低減性</t>
  </si>
  <si>
    <t>建物外皮の熱負荷抑制</t>
  </si>
  <si>
    <t>自然エネルギー利用</t>
  </si>
  <si>
    <t>設備システムの高効率化</t>
  </si>
  <si>
    <t>非住宅部分</t>
  </si>
  <si>
    <t>集合住宅の評価</t>
  </si>
  <si>
    <t>効率的運用</t>
  </si>
  <si>
    <t>住宅以外の評価</t>
  </si>
  <si>
    <t>運用管理体制</t>
  </si>
  <si>
    <t>住宅の評価</t>
  </si>
  <si>
    <t>水資源保護</t>
  </si>
  <si>
    <t>節水</t>
  </si>
  <si>
    <t>雨水利用・雑排水再利用</t>
  </si>
  <si>
    <t>非再生性資源の使用量削減</t>
  </si>
  <si>
    <t>材料使用量の削減</t>
  </si>
  <si>
    <t>既存建築躯体等の継続使用</t>
  </si>
  <si>
    <t>躯体材料におけるリサイクル材の使用</t>
  </si>
  <si>
    <t>部材の再利用可能性向上への取組み</t>
  </si>
  <si>
    <t>汚染物質含有材料の使用回避</t>
  </si>
  <si>
    <t>有害物質を含まない材料の使用</t>
  </si>
  <si>
    <t>地球温暖化への配慮</t>
  </si>
  <si>
    <t>地域環境への配慮</t>
  </si>
  <si>
    <t>大気汚染防止</t>
  </si>
  <si>
    <t>地域インフラへの負荷抑制</t>
  </si>
  <si>
    <t>交通負荷抑制</t>
  </si>
  <si>
    <t>廃棄物処理負荷抑制</t>
  </si>
  <si>
    <t>周辺環境への配慮</t>
  </si>
  <si>
    <t>騒音・振動・悪臭の防止</t>
  </si>
  <si>
    <t>騒音</t>
  </si>
  <si>
    <t>振動</t>
  </si>
  <si>
    <t>悪臭</t>
  </si>
  <si>
    <t>砂塵の抑制</t>
  </si>
  <si>
    <t>光害の抑制</t>
  </si>
  <si>
    <t>空調方式（既存）</t>
    <rPh sb="0" eb="2">
      <t>クウチョウ</t>
    </rPh>
    <rPh sb="2" eb="4">
      <t>ホウシキ</t>
    </rPh>
    <rPh sb="5" eb="7">
      <t>キゾン</t>
    </rPh>
    <phoneticPr fontId="21"/>
  </si>
  <si>
    <t>風害，日照阻害の抑制</t>
    <phoneticPr fontId="21"/>
  </si>
  <si>
    <t>風害・砂塵，日照阻害の抑制</t>
    <phoneticPr fontId="21"/>
  </si>
  <si>
    <t>しない</t>
    <phoneticPr fontId="21"/>
  </si>
  <si>
    <t>事・会（屋外型）・病(待)・ホ・工・住</t>
    <rPh sb="2" eb="3">
      <t>カイ</t>
    </rPh>
    <rPh sb="4" eb="6">
      <t>オクガイ</t>
    </rPh>
    <rPh sb="6" eb="7">
      <t>ガタ</t>
    </rPh>
    <rPh sb="11" eb="12">
      <t>マツ</t>
    </rPh>
    <rPh sb="18" eb="19">
      <t>ジュウ</t>
    </rPh>
    <phoneticPr fontId="22"/>
  </si>
  <si>
    <t>学(大学等)・
会(図)・病(診)</t>
    <rPh sb="8" eb="9">
      <t>カイ</t>
    </rPh>
    <rPh sb="10" eb="11">
      <t>ズ</t>
    </rPh>
    <rPh sb="13" eb="14">
      <t>ビョウ</t>
    </rPh>
    <rPh sb="15" eb="16">
      <t>ミ</t>
    </rPh>
    <phoneticPr fontId="22"/>
  </si>
  <si>
    <t>会(その他)</t>
    <rPh sb="4" eb="5">
      <t>ホカ</t>
    </rPh>
    <phoneticPr fontId="22"/>
  </si>
  <si>
    <t>dB(A)</t>
  </si>
  <si>
    <t>事・会(図)（屋外型）</t>
    <rPh sb="2" eb="3">
      <t>カイ</t>
    </rPh>
    <rPh sb="4" eb="5">
      <t>ズ</t>
    </rPh>
    <rPh sb="7" eb="10">
      <t>オクガイガタ</t>
    </rPh>
    <phoneticPr fontId="21"/>
  </si>
  <si>
    <t>物・飲・会(その他)</t>
    <rPh sb="8" eb="9">
      <t>ホカ</t>
    </rPh>
    <phoneticPr fontId="21"/>
  </si>
  <si>
    <t>窓システム，外壁，屋根や床（特にピロティ）において熱の侵入に対して配慮が無く，断熱性能が低い。
（窓システムSC：0.7程度，U=6.0(W/m2K)程度，外壁その他：U=3.0(W/m2K)程度）</t>
    <phoneticPr fontId="21"/>
  </si>
  <si>
    <t>日本住宅性能表示基準「5-1断熱等性能等級」における等級１相当である。</t>
    <rPh sb="14" eb="16">
      <t>ダンネツ</t>
    </rPh>
    <rPh sb="16" eb="17">
      <t>トウ</t>
    </rPh>
    <rPh sb="17" eb="19">
      <t>セイノウ</t>
    </rPh>
    <rPh sb="19" eb="21">
      <t>トウキュウ</t>
    </rPh>
    <rPh sb="29" eb="31">
      <t>ソウトウ</t>
    </rPh>
    <phoneticPr fontId="22"/>
  </si>
  <si>
    <t>日本住宅性能表示基準「5-1断熱等性能等級」における等級２相当である。</t>
    <rPh sb="29" eb="31">
      <t>ソウトウ</t>
    </rPh>
    <phoneticPr fontId="22"/>
  </si>
  <si>
    <t>日本住宅性能表示基準「5-1断熱等性能等級」における等級３相当である。</t>
    <rPh sb="29" eb="31">
      <t>ソウトウ</t>
    </rPh>
    <phoneticPr fontId="22"/>
  </si>
  <si>
    <t>日本住宅性能表示基準「5-1断熱等性能等級」における等級４相当である。</t>
    <rPh sb="29" eb="31">
      <t>ソウトウ</t>
    </rPh>
    <phoneticPr fontId="22"/>
  </si>
  <si>
    <t>レベル４を超える水準の断熱性能を満たす。※</t>
    <rPh sb="5" eb="6">
      <t>コ</t>
    </rPh>
    <rPh sb="8" eb="10">
      <t>スイジュン</t>
    </rPh>
    <rPh sb="11" eb="13">
      <t>ダンネツ</t>
    </rPh>
    <rPh sb="13" eb="15">
      <t>セイノウ</t>
    </rPh>
    <rPh sb="16" eb="17">
      <t>ミ</t>
    </rPh>
    <phoneticPr fontId="22"/>
  </si>
  <si>
    <t>※</t>
    <phoneticPr fontId="21"/>
  </si>
  <si>
    <t>会（その他）において、博物館・展示施設は評価対象外</t>
    <phoneticPr fontId="21"/>
  </si>
  <si>
    <t>事・会(図)（屋外型）・病・ホ・工</t>
    <rPh sb="2" eb="3">
      <t>カイ</t>
    </rPh>
    <rPh sb="4" eb="5">
      <t>ズ</t>
    </rPh>
    <rPh sb="7" eb="10">
      <t>オクガイガタ</t>
    </rPh>
    <rPh sb="16" eb="17">
      <t>コウ</t>
    </rPh>
    <phoneticPr fontId="21"/>
  </si>
  <si>
    <t>物・飲・会(その他)</t>
    <rPh sb="0" eb="1">
      <t>ブツ</t>
    </rPh>
    <rPh sb="2" eb="3">
      <t>イン</t>
    </rPh>
    <rPh sb="4" eb="5">
      <t>カイ</t>
    </rPh>
    <rPh sb="8" eb="9">
      <t>ホカ</t>
    </rPh>
    <phoneticPr fontId="21"/>
  </si>
  <si>
    <t>事・学・会(図)・病・ホ・工・住</t>
    <rPh sb="4" eb="5">
      <t>カイ</t>
    </rPh>
    <rPh sb="6" eb="7">
      <t>ズ</t>
    </rPh>
    <rPh sb="15" eb="16">
      <t>ジュウ</t>
    </rPh>
    <phoneticPr fontId="21"/>
  </si>
  <si>
    <t>物・飲・会(図)・病・ホ・住</t>
    <rPh sb="2" eb="3">
      <t>イン</t>
    </rPh>
    <rPh sb="4" eb="5">
      <t>カイ</t>
    </rPh>
    <rPh sb="6" eb="7">
      <t>ズ</t>
    </rPh>
    <rPh sb="9" eb="10">
      <t>ビョウ</t>
    </rPh>
    <rPh sb="13" eb="14">
      <t>ジュウ</t>
    </rPh>
    <phoneticPr fontId="21"/>
  </si>
  <si>
    <t>事・病(診)・会(図)・工</t>
    <rPh sb="4" eb="5">
      <t>ミ</t>
    </rPh>
    <rPh sb="7" eb="8">
      <t>カイ</t>
    </rPh>
    <rPh sb="9" eb="10">
      <t>ズ</t>
    </rPh>
    <rPh sb="12" eb="13">
      <t>コウ</t>
    </rPh>
    <phoneticPr fontId="21"/>
  </si>
  <si>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phoneticPr fontId="21"/>
  </si>
  <si>
    <t>事・学(大学等)・会(その他)・
物・病・ホ・工・住</t>
    <rPh sb="2" eb="3">
      <t>ガク</t>
    </rPh>
    <rPh sb="9" eb="10">
      <t>カイ</t>
    </rPh>
    <rPh sb="13" eb="14">
      <t>ホカ</t>
    </rPh>
    <rPh sb="17" eb="18">
      <t>ブツ</t>
    </rPh>
    <rPh sb="25" eb="26">
      <t>ジュウ</t>
    </rPh>
    <phoneticPr fontId="21"/>
  </si>
  <si>
    <t>会（その他）において、博物館・展示施設は評価対象外</t>
    <phoneticPr fontId="21"/>
  </si>
  <si>
    <t>会(その他)では博物館・展示施設のみを評価対象とする。博物館・展示施設は展示室のみを評価する。</t>
    <phoneticPr fontId="21"/>
  </si>
  <si>
    <t>明るさや学習形態に応じた制御区画であり，在室者自らが点灯・消灯によって制御できる。</t>
    <phoneticPr fontId="21"/>
  </si>
  <si>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1"/>
  </si>
  <si>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1"/>
  </si>
  <si>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1"/>
  </si>
  <si>
    <t>事・学(大学)・会(図)・工</t>
    <rPh sb="0" eb="1">
      <t>コト</t>
    </rPh>
    <rPh sb="2" eb="3">
      <t>ガク</t>
    </rPh>
    <rPh sb="4" eb="6">
      <t>ダイガク</t>
    </rPh>
    <rPh sb="8" eb="9">
      <t>カイ</t>
    </rPh>
    <rPh sb="10" eb="11">
      <t>ズ</t>
    </rPh>
    <rPh sb="13" eb="14">
      <t>コウ</t>
    </rPh>
    <phoneticPr fontId="21"/>
  </si>
  <si>
    <t>LCCO2用床面積</t>
    <rPh sb="5" eb="6">
      <t>ヨウ</t>
    </rPh>
    <rPh sb="6" eb="9">
      <t>ユカメンセキ</t>
    </rPh>
    <phoneticPr fontId="21"/>
  </si>
  <si>
    <t>住宅　専有部（住戸全体）※</t>
    <rPh sb="0" eb="2">
      <t>ジュウタク</t>
    </rPh>
    <rPh sb="3" eb="5">
      <t>センユウ</t>
    </rPh>
    <rPh sb="5" eb="6">
      <t>ブ</t>
    </rPh>
    <rPh sb="7" eb="9">
      <t>ジュウコ</t>
    </rPh>
    <rPh sb="9" eb="11">
      <t>ゼンタイ</t>
    </rPh>
    <phoneticPr fontId="21"/>
  </si>
  <si>
    <t>※算定プログラムによらない場合は、評価対象外</t>
    <rPh sb="1" eb="3">
      <t>サンテイ</t>
    </rPh>
    <rPh sb="13" eb="15">
      <t>バアイ</t>
    </rPh>
    <rPh sb="17" eb="19">
      <t>ヒョウカ</t>
    </rPh>
    <rPh sb="19" eb="21">
      <t>タイショウ</t>
    </rPh>
    <rPh sb="21" eb="22">
      <t>ガイ</t>
    </rPh>
    <phoneticPr fontId="21"/>
  </si>
  <si>
    <t>しない</t>
    <phoneticPr fontId="21"/>
  </si>
  <si>
    <t>する</t>
    <phoneticPr fontId="21"/>
  </si>
  <si>
    <t>(該当するレベルなし)</t>
    <phoneticPr fontId="21"/>
  </si>
  <si>
    <t>しない</t>
  </si>
  <si>
    <t xml:space="preserve">取組数 </t>
    <rPh sb="0" eb="2">
      <t>トリクミ</t>
    </rPh>
    <rPh sb="2" eb="3">
      <t>スウ</t>
    </rPh>
    <phoneticPr fontId="21"/>
  </si>
  <si>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1"/>
  </si>
  <si>
    <t>ポイント</t>
    <phoneticPr fontId="21"/>
  </si>
  <si>
    <t>ポイント</t>
    <phoneticPr fontId="21"/>
  </si>
  <si>
    <t>2.1.1 耐震性（建物のこわれにくさ）</t>
  </si>
  <si>
    <r>
      <t xml:space="preserve">2.1.2 </t>
    </r>
    <r>
      <rPr>
        <b/>
        <sz val="10"/>
        <rFont val="ＭＳ Ｐゴシック"/>
        <family val="3"/>
        <charset val="128"/>
      </rPr>
      <t>免震・制震・制振性能（内部設備保護）</t>
    </r>
    <rPh sb="17" eb="19">
      <t>ナイブ</t>
    </rPh>
    <rPh sb="19" eb="21">
      <t>セツビ</t>
    </rPh>
    <rPh sb="21" eb="23">
      <t>ホゴ</t>
    </rPh>
    <phoneticPr fontId="22"/>
  </si>
  <si>
    <t>揺れを抑える装置を導入していない。</t>
  </si>
  <si>
    <t>揺れを抑える装置を導入し、部分的に強風時・強風時の内部設備保護が図られている。</t>
  </si>
  <si>
    <t>揺れを抑える装置を導入し、建物全体で強風時・強風時の内部設備保護が図られている。</t>
  </si>
  <si>
    <t>耐震クラスS（Aクラスに加え，大きな補修をすることなく全ての機能が確保できる。）または，動的解析を行った上で設計用水平震度KHを2.0以上としている。</t>
    <phoneticPr fontId="21"/>
  </si>
  <si>
    <t>3.3.4 通信配線の更新性</t>
  </si>
  <si>
    <t>3.3.6 バックアップスペースの確保</t>
  </si>
  <si>
    <t>&lt;評価しない&gt;</t>
    <rPh sb="1" eb="3">
      <t>ヒョウカ</t>
    </rPh>
    <phoneticPr fontId="22"/>
  </si>
  <si>
    <t>する</t>
  </si>
  <si>
    <t>重み係数(既定）＝</t>
    <rPh sb="0" eb="1">
      <t>オモ</t>
    </rPh>
    <rPh sb="2" eb="4">
      <t>ケイスウ</t>
    </rPh>
    <rPh sb="5" eb="7">
      <t>キテイ</t>
    </rPh>
    <phoneticPr fontId="22"/>
  </si>
  <si>
    <t>評価する取組み</t>
    <rPh sb="0" eb="2">
      <t>ヒョウカ</t>
    </rPh>
    <rPh sb="4" eb="5">
      <t>ト</t>
    </rPh>
    <rPh sb="5" eb="6">
      <t>ク</t>
    </rPh>
    <phoneticPr fontId="22"/>
  </si>
  <si>
    <t>1) 敷地とその周辺にある生物環境に関する立地特性を把握し，その特性に基づいて敷地内の生物環境の保全と創出に関わる計画方針を示している。</t>
    <rPh sb="15" eb="17">
      <t>カンキョウ</t>
    </rPh>
    <phoneticPr fontId="21"/>
  </si>
  <si>
    <t>1) 敷地内にある生物資源を構成する動植物，表土，水辺等を保存または復元している。</t>
    <phoneticPr fontId="21"/>
  </si>
  <si>
    <t>1) 外構緑化指数が，10％以上20％未満を示す規模の外構緑化を行い，なおかつ中高木を植栽している。 (1ポイント)</t>
    <phoneticPr fontId="21"/>
  </si>
  <si>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1"/>
  </si>
  <si>
    <t>2) 自生種の保全に配慮した緑地づくりを行っている。</t>
    <phoneticPr fontId="21"/>
  </si>
  <si>
    <t>3) 敷地や建物の植栽条件に応じた適切な緑地づくりを行っている。</t>
    <phoneticPr fontId="21"/>
  </si>
  <si>
    <t>4) 野生小動物の生息域の確保に配慮した緑地づくりを行っている。</t>
    <phoneticPr fontId="21"/>
  </si>
  <si>
    <t>1) 建物運用時における緑地等の維持管理に必要な設備を設置し，かつ管理方針を示している。</t>
    <phoneticPr fontId="21"/>
  </si>
  <si>
    <t>2) 建物利用者や地域住民が生物とふれあい自然に親しめる環境や施設等を確保している。</t>
    <phoneticPr fontId="21"/>
  </si>
  <si>
    <t>評価項目Ⅰ，評価項目Ⅱ，評価項目Ⅳの2)または3)のうち2項目以上について取り組んでいる。</t>
    <phoneticPr fontId="21"/>
  </si>
  <si>
    <t>2)　建物緑化指数が、5％以上20％未満を示す規模の建築物の緑化を行っている。 (1ポイント)</t>
  </si>
  <si>
    <t>1) 上記の評価項目以外に生物環境の保全と創出に資する独自の取り組みを行っている。（記述）</t>
    <rPh sb="15" eb="17">
      <t>カンキョウ</t>
    </rPh>
    <rPh sb="42" eb="44">
      <t>キジュツ</t>
    </rPh>
    <phoneticPr fontId="22"/>
  </si>
  <si>
    <t>ポイント</t>
    <phoneticPr fontId="21"/>
  </si>
  <si>
    <t>重み係数(既定）＝</t>
  </si>
  <si>
    <t>III 建物内外を連関させる
豊かな中間領域の形成</t>
    <phoneticPr fontId="21"/>
  </si>
  <si>
    <t>II 空間・施設機能の提供
による地域貢献</t>
    <phoneticPr fontId="21"/>
  </si>
  <si>
    <t>I 地域固有の風土，
歴史，文化の継承</t>
    <phoneticPr fontId="21"/>
  </si>
  <si>
    <t>ポイント</t>
    <phoneticPr fontId="21"/>
  </si>
  <si>
    <t>1) 敷地周辺の風の状況を把握し，敷地内の歩行者空間等へ風を導く建築物の配置・形状計画とする</t>
    <phoneticPr fontId="21"/>
  </si>
  <si>
    <t>2) 芝生・草地・低木等の緑地や通路等の空地を設けることにより，風の通り道を確保する。</t>
    <phoneticPr fontId="21"/>
  </si>
  <si>
    <t>1) 中・高木の植栽やピロティ，庇，パーゴラ等を設けることにより，日陰の形成に努める。</t>
    <phoneticPr fontId="21"/>
  </si>
  <si>
    <t>1) 緑地や水面を確保することにより，地表面温度や地表面近傍の気温等の上昇を抑制する。</t>
    <phoneticPr fontId="21"/>
  </si>
  <si>
    <t>2) 敷地内の舗装面積を小さくするよう努める。</t>
    <phoneticPr fontId="21"/>
  </si>
  <si>
    <t>1) 屋上(人工地盤を含む)のうち，人が出入りできる部分の緑化に努める。</t>
    <phoneticPr fontId="21"/>
  </si>
  <si>
    <t>2) 外壁面の材料に配慮する。</t>
    <phoneticPr fontId="21"/>
  </si>
  <si>
    <t>1) 主たる建築設備(空調設備)に伴う排熱は，建築物の高い位置からの放出に努める。
   ・排熱を伴う冷却塔や室外機等について，設備容量の50％程度以上をGL＋10m以上
     の位置に設置 (1ポイント)
   ・冷却塔や室外機を設置しない，またはほとんどをGL＋10m以上の位置に設置 
     (2ポイント)
   ・住宅用途の場合は2ポイントとする。複合用途の場合は，住宅用途部分と非住宅用
     途部分のポイントから，延べ床面積比率を考慮して適切なポイントを設定する。</t>
    <rPh sb="64" eb="66">
      <t>セツビ</t>
    </rPh>
    <rPh sb="66" eb="68">
      <t>ヨウリョウ</t>
    </rPh>
    <rPh sb="72" eb="74">
      <t>テイド</t>
    </rPh>
    <rPh sb="74" eb="76">
      <t>イジョウ</t>
    </rPh>
    <rPh sb="83" eb="85">
      <t>イジョウ</t>
    </rPh>
    <rPh sb="92" eb="94">
      <t>イチ</t>
    </rPh>
    <rPh sb="95" eb="97">
      <t>セッチ</t>
    </rPh>
    <rPh sb="110" eb="112">
      <t>レイキャク</t>
    </rPh>
    <rPh sb="112" eb="113">
      <t>トウ</t>
    </rPh>
    <rPh sb="114" eb="117">
      <t>シツガイキ</t>
    </rPh>
    <rPh sb="118" eb="120">
      <t>セッチ</t>
    </rPh>
    <rPh sb="138" eb="140">
      <t>イジョウ</t>
    </rPh>
    <rPh sb="141" eb="143">
      <t>イチ</t>
    </rPh>
    <rPh sb="144" eb="146">
      <t>セッチ</t>
    </rPh>
    <phoneticPr fontId="21"/>
  </si>
  <si>
    <t>2) 主たる建築設備(燃焼設備)に伴う高温排熱は，建築物の高い位置からの放出に努める。
    ・高温排熱の放出部について，設備容量の50％程度以上をGL＋10m以上
      の位置に設置 (1ポイント)
    ・高温排熱の放出部を設置しない，またはほとんどをGL＋10m以上の位置に設置
      (2ポイント)
   ・住宅用途の場合は2ポイントとする。複合用途の場合は，住宅用途部分と非住宅用
     途部分のポイントから，延べ床面積比率を考慮して適切なポイントを設定する。</t>
    <rPh sb="62" eb="64">
      <t>セツビ</t>
    </rPh>
    <rPh sb="64" eb="66">
      <t>ヨウリョウ</t>
    </rPh>
    <rPh sb="70" eb="72">
      <t>テイド</t>
    </rPh>
    <rPh sb="72" eb="74">
      <t>イジョウ</t>
    </rPh>
    <rPh sb="81" eb="83">
      <t>イジョウ</t>
    </rPh>
    <rPh sb="91" eb="93">
      <t>イチ</t>
    </rPh>
    <rPh sb="94" eb="96">
      <t>セッチ</t>
    </rPh>
    <rPh sb="110" eb="112">
      <t>コウオン</t>
    </rPh>
    <rPh sb="112" eb="114">
      <t>ハイネツ</t>
    </rPh>
    <rPh sb="115" eb="117">
      <t>ホウシュツ</t>
    </rPh>
    <rPh sb="117" eb="118">
      <t>ブ</t>
    </rPh>
    <rPh sb="119" eb="121">
      <t>セッチ</t>
    </rPh>
    <rPh sb="139" eb="141">
      <t>イジョウ</t>
    </rPh>
    <rPh sb="142" eb="144">
      <t>イチ</t>
    </rPh>
    <rPh sb="145" eb="147">
      <t>セッチ</t>
    </rPh>
    <phoneticPr fontId="21"/>
  </si>
  <si>
    <t>ポイント</t>
    <phoneticPr fontId="21"/>
  </si>
  <si>
    <t>しない</t>
    <phoneticPr fontId="21"/>
  </si>
  <si>
    <t>する</t>
    <phoneticPr fontId="21"/>
  </si>
  <si>
    <t>日本住宅性能表示基準「5-1断熱等性能等級」における等級１相当である。</t>
    <rPh sb="14" eb="16">
      <t>ダンネツ</t>
    </rPh>
    <rPh sb="16" eb="17">
      <t>トウ</t>
    </rPh>
    <rPh sb="17" eb="19">
      <t>セイノウ</t>
    </rPh>
    <rPh sb="29" eb="31">
      <t>ソウトウ</t>
    </rPh>
    <phoneticPr fontId="21"/>
  </si>
  <si>
    <t>日本住宅性能表示基準「5-1断熱等性能等級」における等級２相当である。</t>
    <rPh sb="29" eb="31">
      <t>ソウトウ</t>
    </rPh>
    <phoneticPr fontId="21"/>
  </si>
  <si>
    <t>日本住宅性能表示基準「5-1断熱等性能等級」における等級３相当である。</t>
    <rPh sb="29" eb="31">
      <t>ソウトウ</t>
    </rPh>
    <phoneticPr fontId="21"/>
  </si>
  <si>
    <t>日本住宅性能表示基準「5-1断熱等性能等級」における等級４相当である。</t>
    <rPh sb="29" eb="31">
      <t>ソウトウ</t>
    </rPh>
    <phoneticPr fontId="21"/>
  </si>
  <si>
    <t>レベル4を超える水準の断熱性能を満たす。</t>
    <phoneticPr fontId="21"/>
  </si>
  <si>
    <t xml:space="preserve">レベル1: [BPI][BPIm] ≧ 1.03
レベル2: [BPI][BPIm] ＝ 1.00
レベル3: [BPI][BPIm] ＝ 0.97
レベル4: [BPI][BPIm] ＝ 0.90
レベル5: [BPI][BPIm] ≦ 0.80
各レベル間はBPIまたはBPImにより，小数点一桁までの直線補間で評価する。
</t>
  </si>
  <si>
    <t xml:space="preserve">レベル1: [BPI][BPIm] ≧ 1.03
レベル2: [BPI][BPIm] ＝ 1.00
レベル3: [BPI][BPIm] ＝ 0.97
レベル4: [BPI][BPIm] ＝ 0.93
レベル5: [BPI][BPIm] ≦ 0.85
各レベル間はBPIまたはBPImにより，小数点一桁までの直線補間で評価する。
</t>
  </si>
  <si>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1"/>
  </si>
  <si>
    <t>工場の生産エリアへの利用量は、評価しない。</t>
    <rPh sb="0" eb="2">
      <t>コウジョウ</t>
    </rPh>
    <rPh sb="15" eb="17">
      <t>ヒョウカ</t>
    </rPh>
    <phoneticPr fontId="21"/>
  </si>
  <si>
    <t>生産エリアのみの工場は対象外とする。</t>
    <rPh sb="0" eb="2">
      <t>セイサン</t>
    </rPh>
    <rPh sb="8" eb="10">
      <t>コウジョウ</t>
    </rPh>
    <rPh sb="11" eb="14">
      <t>タイショウガイ</t>
    </rPh>
    <phoneticPr fontId="21"/>
  </si>
  <si>
    <t>（評価する取組み欄で「対象外」を選択）</t>
    <rPh sb="1" eb="3">
      <t>ヒョウカ</t>
    </rPh>
    <rPh sb="5" eb="7">
      <t>トリクミ</t>
    </rPh>
    <rPh sb="8" eb="9">
      <t>ラン</t>
    </rPh>
    <rPh sb="11" eb="14">
      <t>タイショウガイ</t>
    </rPh>
    <rPh sb="16" eb="18">
      <t>センタク</t>
    </rPh>
    <phoneticPr fontId="21"/>
  </si>
  <si>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1"/>
  </si>
  <si>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1"/>
  </si>
  <si>
    <t>＜用途③＞
レベル1: [BEI] ≧ 1.20
レベル2: [BEI] ＝ 1.10
レベル3: [BEI] ＝ 1.00
レベル4: [BEI] ＝ 0.90
レベル5: [BEI] ≦ 0.85
各レベル間はBEIにより、小数点一桁までの直線補間で評価する.</t>
    <rPh sb="1" eb="3">
      <t>ヨウト</t>
    </rPh>
    <phoneticPr fontId="21"/>
  </si>
  <si>
    <t>レベル1:</t>
    <phoneticPr fontId="21"/>
  </si>
  <si>
    <t>[BEI][BEIm] ≧</t>
    <phoneticPr fontId="21"/>
  </si>
  <si>
    <t>レベル2:</t>
    <phoneticPr fontId="21"/>
  </si>
  <si>
    <t>[BEI][BEIm] ＝</t>
    <phoneticPr fontId="21"/>
  </si>
  <si>
    <t>レベル3:</t>
  </si>
  <si>
    <t>レベル4:</t>
  </si>
  <si>
    <t>レベル5:</t>
  </si>
  <si>
    <t>[BEI][BEIm] ≦</t>
    <phoneticPr fontId="21"/>
  </si>
  <si>
    <t>備考；評価建物のレベル
（用途①、②、③の床面積按分）</t>
    <rPh sb="0" eb="2">
      <t>ビコウ</t>
    </rPh>
    <rPh sb="3" eb="5">
      <t>ヒョウカ</t>
    </rPh>
    <rPh sb="5" eb="7">
      <t>タテモノ</t>
    </rPh>
    <rPh sb="21" eb="24">
      <t>ユカメンセキ</t>
    </rPh>
    <rPh sb="24" eb="26">
      <t>アンブン</t>
    </rPh>
    <phoneticPr fontId="21"/>
  </si>
  <si>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1"/>
  </si>
  <si>
    <t>「住宅部分の外壁、窓等を通しての熱の損失の防止に関する基準及び一次エネルギー消費量に関する基準（平成28年国土交通省</t>
    <phoneticPr fontId="21"/>
  </si>
  <si>
    <t>告示266号）」に定められる「外壁、窓等を通しての熱の損失の防止に関する基準」および「一次エネルギー消費量に関する基準」</t>
    <phoneticPr fontId="21"/>
  </si>
  <si>
    <t>の双方を満たす場合は「レベル３」とする。　上記を満たさない場合は、「レベル１」とする。</t>
    <rPh sb="21" eb="23">
      <t>ジョウキ</t>
    </rPh>
    <rPh sb="24" eb="25">
      <t>ミ</t>
    </rPh>
    <rPh sb="29" eb="31">
      <t>バアイ</t>
    </rPh>
    <phoneticPr fontId="21"/>
  </si>
  <si>
    <t>空調CO2制御効果，換気CO2制御効果，ﾀｽｸｱﾝﾋﾞｴﾝﾄ空調効果，ﾀｽｸｱﾝﾋﾞｴﾝﾄ照明効果など</t>
    <phoneticPr fontId="21"/>
  </si>
  <si>
    <t>○</t>
    <phoneticPr fontId="21"/>
  </si>
  <si>
    <t>しない</t>
    <phoneticPr fontId="21"/>
  </si>
  <si>
    <t>する</t>
    <phoneticPr fontId="21"/>
  </si>
  <si>
    <t>主要構造躯体のコンクリート基準強度Fc及び主筋鉄筋の基準強度F
（単位:N/mm2）</t>
    <phoneticPr fontId="21"/>
  </si>
  <si>
    <t>主要構造躯体の鉄骨の基準強度F
（単位:N/mm2）</t>
    <rPh sb="10" eb="12">
      <t>キジュン</t>
    </rPh>
    <phoneticPr fontId="21"/>
  </si>
  <si>
    <t>-</t>
    <phoneticPr fontId="21"/>
  </si>
  <si>
    <r>
      <t>2.6.1</t>
    </r>
    <r>
      <rPr>
        <b/>
        <sz val="10"/>
        <rFont val="ＭＳ Ｐゴシック"/>
        <family val="3"/>
        <charset val="128"/>
      </rPr>
      <t>　躯体のリサイクル・リユース</t>
    </r>
    <rPh sb="6" eb="8">
      <t>クタイ</t>
    </rPh>
    <phoneticPr fontId="2"/>
  </si>
  <si>
    <r>
      <t>2.6.2</t>
    </r>
    <r>
      <rPr>
        <b/>
        <sz val="10"/>
        <rFont val="ＭＳ Ｐゴシック"/>
        <family val="3"/>
        <charset val="128"/>
      </rPr>
      <t>　屋根材のリサイクル・リユース</t>
    </r>
    <rPh sb="6" eb="8">
      <t>ヤネ</t>
    </rPh>
    <rPh sb="8" eb="9">
      <t>ザイ</t>
    </rPh>
    <phoneticPr fontId="2"/>
  </si>
  <si>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2"/>
  </si>
  <si>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2"/>
  </si>
  <si>
    <t>躯体材料の一部が着脱でき、それらをリサイクルもしくはリユースできる</t>
    <rPh sb="0" eb="2">
      <t>クタイ</t>
    </rPh>
    <rPh sb="2" eb="4">
      <t>ザイリョウ</t>
    </rPh>
    <rPh sb="5" eb="7">
      <t>イチブ</t>
    </rPh>
    <phoneticPr fontId="2"/>
  </si>
  <si>
    <t>屋根材・下地材の一部が着脱でき、それらをリサイクルもしくはリユースできる</t>
    <rPh sb="8" eb="10">
      <t>イチブ</t>
    </rPh>
    <phoneticPr fontId="2"/>
  </si>
  <si>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2"/>
  </si>
  <si>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2"/>
  </si>
  <si>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2"/>
  </si>
  <si>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2"/>
  </si>
  <si>
    <t>レベル3に加えて、躯体材料の大半は規格材で構成されていてリユースできる</t>
    <rPh sb="9" eb="11">
      <t>クタイ</t>
    </rPh>
    <rPh sb="11" eb="13">
      <t>ザイリョウ</t>
    </rPh>
    <rPh sb="14" eb="16">
      <t>タイハン</t>
    </rPh>
    <phoneticPr fontId="2"/>
  </si>
  <si>
    <t>レベル3に加えて、屋根材の大半は規格材で構成されていてリユースできる</t>
    <rPh sb="13" eb="15">
      <t>タイハン</t>
    </rPh>
    <phoneticPr fontId="2"/>
  </si>
  <si>
    <r>
      <t>2.6.3</t>
    </r>
    <r>
      <rPr>
        <b/>
        <sz val="10"/>
        <rFont val="ＭＳ Ｐゴシック"/>
        <family val="3"/>
        <charset val="128"/>
      </rPr>
      <t>　外壁材のリサイクル・リユース</t>
    </r>
    <rPh sb="6" eb="8">
      <t>ガイヘキ</t>
    </rPh>
    <rPh sb="8" eb="9">
      <t>ザイ</t>
    </rPh>
    <phoneticPr fontId="21"/>
  </si>
  <si>
    <r>
      <t>2.6.4</t>
    </r>
    <r>
      <rPr>
        <b/>
        <sz val="10"/>
        <rFont val="ＭＳ Ｐゴシック"/>
        <family val="3"/>
        <charset val="128"/>
      </rPr>
      <t>　内装材のリサイクル・リユース</t>
    </r>
    <rPh sb="6" eb="8">
      <t>ナイソウ</t>
    </rPh>
    <rPh sb="8" eb="9">
      <t>ザイ</t>
    </rPh>
    <phoneticPr fontId="2"/>
  </si>
  <si>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2"/>
  </si>
  <si>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2"/>
  </si>
  <si>
    <t>外壁材・下地材の一部が着脱でき、それらをリサイクルもしくはリユースできる</t>
    <rPh sb="0" eb="2">
      <t>ガイヘキ</t>
    </rPh>
    <rPh sb="8" eb="10">
      <t>イチブ</t>
    </rPh>
    <phoneticPr fontId="2"/>
  </si>
  <si>
    <t>内装材・下地材の一部が着脱でき、それらをリサイクルもしくはリユースできる</t>
    <rPh sb="0" eb="2">
      <t>ナイソウ</t>
    </rPh>
    <rPh sb="2" eb="3">
      <t>ザイ</t>
    </rPh>
    <rPh sb="8" eb="10">
      <t>イチブ</t>
    </rPh>
    <phoneticPr fontId="2"/>
  </si>
  <si>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2"/>
  </si>
  <si>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2"/>
  </si>
  <si>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2"/>
  </si>
  <si>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2"/>
  </si>
  <si>
    <t>レベル3に加えて、外壁材の大半は規格材で構成されていてリユースできる</t>
    <rPh sb="9" eb="11">
      <t>ガイヘキ</t>
    </rPh>
    <rPh sb="13" eb="15">
      <t>タイハン</t>
    </rPh>
    <phoneticPr fontId="2"/>
  </si>
  <si>
    <t>レベル3に加えて、内装材の大半は規格材で構成されていてリユースできる</t>
    <rPh sb="9" eb="11">
      <t>ナイソウ</t>
    </rPh>
    <rPh sb="11" eb="12">
      <t>ザイ</t>
    </rPh>
    <rPh sb="13" eb="15">
      <t>タイハン</t>
    </rPh>
    <phoneticPr fontId="2"/>
  </si>
  <si>
    <r>
      <t>2.6.5</t>
    </r>
    <r>
      <rPr>
        <b/>
        <sz val="10"/>
        <rFont val="ＭＳ Ｐゴシック"/>
        <family val="3"/>
        <charset val="128"/>
      </rPr>
      <t>　設備機器のリサイクル・リユース</t>
    </r>
    <rPh sb="6" eb="8">
      <t>セツビ</t>
    </rPh>
    <rPh sb="8" eb="10">
      <t>キキ</t>
    </rPh>
    <phoneticPr fontId="2"/>
  </si>
  <si>
    <r>
      <t>2.6.6</t>
    </r>
    <r>
      <rPr>
        <b/>
        <sz val="10"/>
        <rFont val="ＭＳ Ｐゴシック"/>
        <family val="3"/>
        <charset val="128"/>
      </rPr>
      <t>　外構資材のリユース</t>
    </r>
    <rPh sb="6" eb="8">
      <t>ガイコウ</t>
    </rPh>
    <rPh sb="8" eb="10">
      <t>シザイ</t>
    </rPh>
    <phoneticPr fontId="2"/>
  </si>
  <si>
    <t>評価する取組みが1つ。</t>
  </si>
  <si>
    <t>評価する取組みが3つ。</t>
  </si>
  <si>
    <t>評価する取組みが4つ以上。</t>
  </si>
  <si>
    <t>評価する取組みが3つ以上。</t>
    <rPh sb="10" eb="12">
      <t>イジョウ</t>
    </rPh>
    <phoneticPr fontId="21"/>
  </si>
  <si>
    <t>取組み</t>
    <rPh sb="0" eb="2">
      <t>トリク</t>
    </rPh>
    <phoneticPr fontId="21"/>
  </si>
  <si>
    <t>1)使用材料種類の集約</t>
    <rPh sb="2" eb="4">
      <t>シヨウ</t>
    </rPh>
    <rPh sb="4" eb="6">
      <t>ザイリョウ</t>
    </rPh>
    <rPh sb="6" eb="8">
      <t>シュルイ</t>
    </rPh>
    <rPh sb="9" eb="11">
      <t>シュウヤク</t>
    </rPh>
    <phoneticPr fontId="2"/>
  </si>
  <si>
    <t>1)外構に植栽する樹木の移設・再使用を前提とした植栽方法の採用</t>
    <phoneticPr fontId="21"/>
  </si>
  <si>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2"/>
  </si>
  <si>
    <t>2）屋根緑化や壁面緑化等の建物緑化に用いる植物の移設・再使用を前提とした植栽方法の採用</t>
  </si>
  <si>
    <t>3)設備機器（空調機）の規格化</t>
    <rPh sb="2" eb="4">
      <t>セツビ</t>
    </rPh>
    <rPh sb="4" eb="6">
      <t>キキ</t>
    </rPh>
    <rPh sb="7" eb="9">
      <t>クウチョウ</t>
    </rPh>
    <rPh sb="9" eb="10">
      <t>キ</t>
    </rPh>
    <rPh sb="12" eb="14">
      <t>キカク</t>
    </rPh>
    <rPh sb="14" eb="15">
      <t>カ</t>
    </rPh>
    <phoneticPr fontId="2"/>
  </si>
  <si>
    <t>3）舗装用平板やブロック等道路用材について、移設・再使用を前提とした資材・工法の採用</t>
  </si>
  <si>
    <t>4)設備機器（照明）の規格化</t>
    <rPh sb="2" eb="4">
      <t>セツビ</t>
    </rPh>
    <rPh sb="4" eb="6">
      <t>キキ</t>
    </rPh>
    <rPh sb="7" eb="9">
      <t>ショウメイ</t>
    </rPh>
    <rPh sb="11" eb="13">
      <t>キカク</t>
    </rPh>
    <rPh sb="13" eb="14">
      <t>カ</t>
    </rPh>
    <phoneticPr fontId="2"/>
  </si>
  <si>
    <t>4）擁壁や植栽ブロック等土木用材について、移設・再使用を前提とした資材・工法の採用</t>
  </si>
  <si>
    <t>5)設備機器の着脱性の確保</t>
    <rPh sb="2" eb="4">
      <t>セツビ</t>
    </rPh>
    <rPh sb="4" eb="6">
      <t>キキ</t>
    </rPh>
    <rPh sb="7" eb="10">
      <t>チャクダツセイ</t>
    </rPh>
    <rPh sb="11" eb="13">
      <t>カクホ</t>
    </rPh>
    <phoneticPr fontId="2"/>
  </si>
  <si>
    <t>5)その他（記述）</t>
    <rPh sb="4" eb="5">
      <t>ホカ</t>
    </rPh>
    <rPh sb="6" eb="8">
      <t>キジュツ</t>
    </rPh>
    <phoneticPr fontId="21"/>
  </si>
  <si>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2"/>
  </si>
  <si>
    <t>7)修理・部品交換しやすい設備機器の使用</t>
    <rPh sb="2" eb="4">
      <t>シュウリ</t>
    </rPh>
    <rPh sb="5" eb="7">
      <t>ブヒン</t>
    </rPh>
    <rPh sb="7" eb="9">
      <t>コウカン</t>
    </rPh>
    <rPh sb="13" eb="15">
      <t>セツビ</t>
    </rPh>
    <rPh sb="15" eb="17">
      <t>キキ</t>
    </rPh>
    <rPh sb="18" eb="20">
      <t>シヨウ</t>
    </rPh>
    <phoneticPr fontId="2"/>
  </si>
  <si>
    <t>8)その他（記述）</t>
    <rPh sb="4" eb="5">
      <t>ホカ</t>
    </rPh>
    <rPh sb="6" eb="8">
      <t>キジュツ</t>
    </rPh>
    <phoneticPr fontId="21"/>
  </si>
  <si>
    <t>廃棄物発生量の最小化</t>
    <phoneticPr fontId="21"/>
  </si>
  <si>
    <t>自然素材利用による建築構造体の軽量化</t>
    <rPh sb="0" eb="2">
      <t>シゼン</t>
    </rPh>
    <rPh sb="2" eb="4">
      <t>ソザイ</t>
    </rPh>
    <rPh sb="4" eb="6">
      <t>リヨウ</t>
    </rPh>
    <rPh sb="9" eb="11">
      <t>ケンチク</t>
    </rPh>
    <rPh sb="11" eb="14">
      <t>コウゾウタイ</t>
    </rPh>
    <rPh sb="15" eb="18">
      <t>ケイリョウカ</t>
    </rPh>
    <phoneticPr fontId="2"/>
  </si>
  <si>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2"/>
  </si>
  <si>
    <t>リース・レンタル材料及び設備の採用</t>
    <rPh sb="8" eb="10">
      <t>ザイリョウ</t>
    </rPh>
    <rPh sb="10" eb="11">
      <t>オヨ</t>
    </rPh>
    <rPh sb="12" eb="14">
      <t>セツビ</t>
    </rPh>
    <rPh sb="15" eb="17">
      <t>サイヨウ</t>
    </rPh>
    <phoneticPr fontId="2"/>
  </si>
  <si>
    <t>リユース＆リサイクルルートと受け入れ先確保（リース・レンタルは除く）</t>
    <rPh sb="14" eb="15">
      <t>ウ</t>
    </rPh>
    <rPh sb="16" eb="17">
      <t>イ</t>
    </rPh>
    <rPh sb="18" eb="19">
      <t>サキ</t>
    </rPh>
    <rPh sb="19" eb="21">
      <t>カクホ</t>
    </rPh>
    <rPh sb="31" eb="32">
      <t>ノゾ</t>
    </rPh>
    <phoneticPr fontId="2"/>
  </si>
  <si>
    <t>その他（記述）</t>
    <rPh sb="2" eb="3">
      <t>ホカ</t>
    </rPh>
    <rPh sb="4" eb="6">
      <t>キジュツ</t>
    </rPh>
    <phoneticPr fontId="21"/>
  </si>
  <si>
    <t>-</t>
    <phoneticPr fontId="21"/>
  </si>
  <si>
    <t>しない</t>
    <phoneticPr fontId="21"/>
  </si>
  <si>
    <t>する</t>
    <phoneticPr fontId="21"/>
  </si>
  <si>
    <t>※個別計算の結果（④オフサイト手法まで）で評価します。</t>
    <rPh sb="1" eb="3">
      <t>コベツ</t>
    </rPh>
    <rPh sb="3" eb="5">
      <t>ケイサン</t>
    </rPh>
    <rPh sb="6" eb="8">
      <t>ケッカ</t>
    </rPh>
    <rPh sb="15" eb="17">
      <t>シュホウ</t>
    </rPh>
    <rPh sb="21" eb="23">
      <t>ヒョウカ</t>
    </rPh>
    <phoneticPr fontId="21"/>
  </si>
  <si>
    <t>I 温熱環境の事前調査</t>
    <phoneticPr fontId="21"/>
  </si>
  <si>
    <t>II 敷地外への熱的な影響を低減する対策</t>
    <phoneticPr fontId="21"/>
  </si>
  <si>
    <t>III 効果の確認</t>
    <phoneticPr fontId="21"/>
  </si>
  <si>
    <t>ポイント</t>
    <phoneticPr fontId="21"/>
  </si>
  <si>
    <t>ポイント</t>
    <phoneticPr fontId="21"/>
  </si>
  <si>
    <t>ポイント</t>
    <phoneticPr fontId="21"/>
  </si>
  <si>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1"/>
  </si>
  <si>
    <t>悪臭防止法ならびに地域の条例等に定める特定悪臭物質の濃度の許容限度及び臭気指数の許容限度を満たしている。</t>
    <rPh sb="9" eb="11">
      <t>チイキ</t>
    </rPh>
    <rPh sb="12" eb="14">
      <t>ジョウレイ</t>
    </rPh>
    <rPh sb="14" eb="15">
      <t>トウ</t>
    </rPh>
    <phoneticPr fontId="21"/>
  </si>
  <si>
    <t>ポイント</t>
    <phoneticPr fontId="21"/>
  </si>
  <si>
    <t>ポイント</t>
    <phoneticPr fontId="21"/>
  </si>
  <si>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1"/>
  </si>
  <si>
    <t>1</t>
    <phoneticPr fontId="21"/>
  </si>
  <si>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1"/>
  </si>
  <si>
    <t xml:space="preserve">[BPI][BPIm] = </t>
    <phoneticPr fontId="21"/>
  </si>
  <si>
    <t>＜１～７地域＞</t>
    <rPh sb="4" eb="6">
      <t>チイキ</t>
    </rPh>
    <phoneticPr fontId="21"/>
  </si>
  <si>
    <t>レベル</t>
    <phoneticPr fontId="21"/>
  </si>
  <si>
    <t>レベル</t>
    <phoneticPr fontId="21"/>
  </si>
  <si>
    <t>＜８地域＞</t>
    <phoneticPr fontId="21"/>
  </si>
  <si>
    <t>住宅部分</t>
    <rPh sb="0" eb="2">
      <t>ジュウタク</t>
    </rPh>
    <rPh sb="2" eb="4">
      <t>ブブン</t>
    </rPh>
    <phoneticPr fontId="21"/>
  </si>
  <si>
    <t>相当　※1、2</t>
    <rPh sb="0" eb="2">
      <t>ソウトウ</t>
    </rPh>
    <phoneticPr fontId="21"/>
  </si>
  <si>
    <t>※1</t>
    <phoneticPr fontId="21"/>
  </si>
  <si>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1"/>
  </si>
  <si>
    <t>※2</t>
    <phoneticPr fontId="21"/>
  </si>
  <si>
    <t>等級４を超える水準</t>
    <rPh sb="0" eb="2">
      <t>トウキュウ</t>
    </rPh>
    <rPh sb="4" eb="5">
      <t>コ</t>
    </rPh>
    <rPh sb="7" eb="9">
      <t>スイジュン</t>
    </rPh>
    <phoneticPr fontId="21"/>
  </si>
  <si>
    <t>等級4を超える</t>
    <rPh sb="0" eb="2">
      <t>トウキュウ</t>
    </rPh>
    <rPh sb="4" eb="5">
      <t>コ</t>
    </rPh>
    <phoneticPr fontId="21"/>
  </si>
  <si>
    <t>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t>
    <phoneticPr fontId="21"/>
  </si>
  <si>
    <t>＜８地域＞</t>
    <phoneticPr fontId="21"/>
  </si>
  <si>
    <t>各住戸の開口部の平均日射熱取得率が12以下となること。</t>
    <phoneticPr fontId="21"/>
  </si>
  <si>
    <t>BPI未入力</t>
    <rPh sb="3" eb="6">
      <t>ミニュウリョク</t>
    </rPh>
    <phoneticPr fontId="21"/>
  </si>
  <si>
    <t>床面積(㎡)</t>
    <rPh sb="0" eb="3">
      <t>ユカメンセキ</t>
    </rPh>
    <rPh sb="1" eb="3">
      <t>メンセキ</t>
    </rPh>
    <phoneticPr fontId="21"/>
  </si>
  <si>
    <t>床面積比率</t>
    <rPh sb="0" eb="3">
      <t>ユカメンセキ</t>
    </rPh>
    <rPh sb="1" eb="3">
      <t>メンセキ</t>
    </rPh>
    <rPh sb="3" eb="4">
      <t>ヒ</t>
    </rPh>
    <rPh sb="4" eb="5">
      <t>リツ</t>
    </rPh>
    <phoneticPr fontId="21"/>
  </si>
  <si>
    <t>非住宅部分（工場除く）</t>
    <rPh sb="0" eb="1">
      <t>ヒ</t>
    </rPh>
    <rPh sb="1" eb="3">
      <t>ジュウタク</t>
    </rPh>
    <rPh sb="3" eb="5">
      <t>ブブン</t>
    </rPh>
    <rPh sb="6" eb="8">
      <t>コウジョウ</t>
    </rPh>
    <rPh sb="8" eb="9">
      <t>ノゾ</t>
    </rPh>
    <phoneticPr fontId="21"/>
  </si>
  <si>
    <t>2</t>
    <phoneticPr fontId="21"/>
  </si>
  <si>
    <t>一次エネルギー消費性能（BEI等の転記）</t>
    <rPh sb="0" eb="2">
      <t>イチジ</t>
    </rPh>
    <rPh sb="7" eb="9">
      <t>ショウヒ</t>
    </rPh>
    <rPh sb="9" eb="11">
      <t>セイノウ</t>
    </rPh>
    <rPh sb="15" eb="16">
      <t>トウ</t>
    </rPh>
    <rPh sb="17" eb="19">
      <t>テンキ</t>
    </rPh>
    <phoneticPr fontId="21"/>
  </si>
  <si>
    <t>建物全体のBEI</t>
    <rPh sb="0" eb="2">
      <t>タテモノ</t>
    </rPh>
    <rPh sb="2" eb="4">
      <t>ゼンタイ</t>
    </rPh>
    <phoneticPr fontId="21"/>
  </si>
  <si>
    <t xml:space="preserve">[BEI][BEIm] = </t>
    <phoneticPr fontId="21"/>
  </si>
  <si>
    <t>下記（１）（２）（３）で評価する場合は空欄</t>
    <rPh sb="0" eb="2">
      <t>カキ</t>
    </rPh>
    <rPh sb="12" eb="14">
      <t>ヒョウカ</t>
    </rPh>
    <rPh sb="16" eb="18">
      <t>バアイ</t>
    </rPh>
    <rPh sb="19" eb="21">
      <t>クウラン</t>
    </rPh>
    <phoneticPr fontId="21"/>
  </si>
  <si>
    <t>&lt;運用期間が1年未満の場合&gt;</t>
    <phoneticPr fontId="21"/>
  </si>
  <si>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1"/>
  </si>
  <si>
    <t>非住宅部分のBEI</t>
    <rPh sb="0" eb="1">
      <t>ヒ</t>
    </rPh>
    <rPh sb="1" eb="3">
      <t>ジュウタク</t>
    </rPh>
    <rPh sb="3" eb="5">
      <t>ブブン</t>
    </rPh>
    <phoneticPr fontId="21"/>
  </si>
  <si>
    <t>非住宅建築物は、建物全体のBEIと同じ数値を入力</t>
    <rPh sb="0" eb="1">
      <t>ヒ</t>
    </rPh>
    <rPh sb="1" eb="3">
      <t>ジュウタク</t>
    </rPh>
    <rPh sb="3" eb="6">
      <t>ケンチクブツ</t>
    </rPh>
    <rPh sb="8" eb="10">
      <t>タテモノ</t>
    </rPh>
    <rPh sb="10" eb="12">
      <t>ゼンタイ</t>
    </rPh>
    <rPh sb="17" eb="18">
      <t>オナ</t>
    </rPh>
    <rPh sb="19" eb="21">
      <t>スウチ</t>
    </rPh>
    <rPh sb="22" eb="24">
      <t>ニュウリョク</t>
    </rPh>
    <phoneticPr fontId="21"/>
  </si>
  <si>
    <t>下記（１）（２）（３）で評価する場合は複合用途の内の非住宅部分の（１）（２）の</t>
    <rPh sb="0" eb="2">
      <t>カキ</t>
    </rPh>
    <rPh sb="12" eb="14">
      <t>ヒョウカ</t>
    </rPh>
    <rPh sb="16" eb="18">
      <t>バアイ</t>
    </rPh>
    <phoneticPr fontId="21"/>
  </si>
  <si>
    <t>[BEI] [BEIm]の値を入力（LCCO2評価用）</t>
    <phoneticPr fontId="21"/>
  </si>
  <si>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phoneticPr fontId="21"/>
  </si>
  <si>
    <t>レベル</t>
    <phoneticPr fontId="21"/>
  </si>
  <si>
    <t>■用途別BEI設定値</t>
    <rPh sb="1" eb="3">
      <t>ﾖｳﾄ</t>
    </rPh>
    <rPh sb="3" eb="4">
      <t>ﾍﾞﾂ</t>
    </rPh>
    <rPh sb="7" eb="10">
      <t>ｾｯﾃｲﾁ</t>
    </rPh>
    <phoneticPr fontId="34" type="noConversion"/>
  </si>
  <si>
    <t>ﾚﾍﾞﾙ１</t>
    <phoneticPr fontId="21"/>
  </si>
  <si>
    <t>ﾚﾍﾞﾙ２</t>
    <phoneticPr fontId="21"/>
  </si>
  <si>
    <t>ﾚﾍﾞﾙ４</t>
    <phoneticPr fontId="21"/>
  </si>
  <si>
    <t>事・学・工</t>
    <phoneticPr fontId="21"/>
  </si>
  <si>
    <t>物・飲・会・病・ホ</t>
    <phoneticPr fontId="21"/>
  </si>
  <si>
    <r>
      <rPr>
        <b/>
        <sz val="10"/>
        <rFont val="ＭＳ Ｐゴシック"/>
        <family val="3"/>
        <charset val="128"/>
      </rPr>
      <t>次の場合は、以下の（１）（２）（３）で評価してください。</t>
    </r>
    <r>
      <rPr>
        <sz val="10"/>
        <rFont val="ＭＳ Ｐゴシック"/>
        <family val="3"/>
        <charset val="128"/>
      </rPr>
      <t xml:space="preserve">
・住宅を含む複合用途で、共用部を標準入力法（BEI）、非住宅部分をモデル建物法（BEIm）で評価した場合
・住宅用途ないしは住宅を含む複合用途で、専有部を住宅仕様基準で評価した場合</t>
    </r>
    <rPh sb="6" eb="8">
      <t>イカ</t>
    </rPh>
    <phoneticPr fontId="21"/>
  </si>
  <si>
    <t>（１）BEIによる評価</t>
    <rPh sb="9" eb="11">
      <t>ﾋｮｳｶ</t>
    </rPh>
    <phoneticPr fontId="34" type="noConversion"/>
  </si>
  <si>
    <t xml:space="preserve">[BEI] = </t>
    <phoneticPr fontId="21"/>
  </si>
  <si>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1"/>
  </si>
  <si>
    <t>BEI未入力</t>
    <rPh sb="3" eb="6">
      <t>ミニュウリョク</t>
    </rPh>
    <phoneticPr fontId="21"/>
  </si>
  <si>
    <t>■用途別評価対象面積の入力</t>
    <rPh sb="1" eb="3">
      <t>ヨウト</t>
    </rPh>
    <rPh sb="3" eb="4">
      <t>ベツ</t>
    </rPh>
    <rPh sb="4" eb="6">
      <t>ヒョウカ</t>
    </rPh>
    <rPh sb="6" eb="8">
      <t>タイショウ</t>
    </rPh>
    <rPh sb="8" eb="10">
      <t>メンセキ</t>
    </rPh>
    <rPh sb="11" eb="13">
      <t>ニュウリョク</t>
    </rPh>
    <phoneticPr fontId="21"/>
  </si>
  <si>
    <t>対象面積(㎡)</t>
    <rPh sb="0" eb="2">
      <t>タイショウ</t>
    </rPh>
    <rPh sb="2" eb="4">
      <t>メンセキ</t>
    </rPh>
    <rPh sb="4" eb="6">
      <t>ユカメンセキ</t>
    </rPh>
    <phoneticPr fontId="21"/>
  </si>
  <si>
    <t>ﾚﾍﾞﾙ１</t>
    <phoneticPr fontId="21"/>
  </si>
  <si>
    <t>ﾚﾍﾞﾙ２</t>
    <phoneticPr fontId="21"/>
  </si>
  <si>
    <t>レベル</t>
    <phoneticPr fontId="21"/>
  </si>
  <si>
    <t>事・学・工</t>
    <phoneticPr fontId="21"/>
  </si>
  <si>
    <t>物・飲・会・病・ホ</t>
    <phoneticPr fontId="21"/>
  </si>
  <si>
    <t>評価対象面積</t>
    <rPh sb="0" eb="2">
      <t>ヒョウカ</t>
    </rPh>
    <rPh sb="2" eb="4">
      <t>タイショウ</t>
    </rPh>
    <rPh sb="4" eb="6">
      <t>メンセキ</t>
    </rPh>
    <phoneticPr fontId="21"/>
  </si>
  <si>
    <t>（２）BEImによる評価</t>
    <rPh sb="10" eb="12">
      <t>ﾋｮｳｶ</t>
    </rPh>
    <phoneticPr fontId="34" type="noConversion"/>
  </si>
  <si>
    <t xml:space="preserve">[BEIm] = </t>
    <phoneticPr fontId="21"/>
  </si>
  <si>
    <t>ﾚﾍﾞﾙ１</t>
    <phoneticPr fontId="21"/>
  </si>
  <si>
    <t>ﾚﾍﾞﾙ２</t>
    <phoneticPr fontId="21"/>
  </si>
  <si>
    <t>レベル</t>
    <phoneticPr fontId="21"/>
  </si>
  <si>
    <t>事・学・工</t>
    <phoneticPr fontId="21"/>
  </si>
  <si>
    <t>物・飲・会・病・ホ</t>
    <phoneticPr fontId="21"/>
  </si>
  <si>
    <t>（３）仕様基準による評価</t>
    <rPh sb="3" eb="5">
      <t>シヨウ</t>
    </rPh>
    <rPh sb="5" eb="7">
      <t>キジュン</t>
    </rPh>
    <rPh sb="10" eb="12">
      <t>ヒョウカ</t>
    </rPh>
    <phoneticPr fontId="21"/>
  </si>
  <si>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1"/>
  </si>
  <si>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1"/>
  </si>
  <si>
    <t>－</t>
    <phoneticPr fontId="21"/>
  </si>
  <si>
    <t xml:space="preserve">共用部を含む非住宅部分[BEI] = </t>
    <rPh sb="0" eb="2">
      <t>キョウヨウ</t>
    </rPh>
    <rPh sb="2" eb="3">
      <t>ブ</t>
    </rPh>
    <rPh sb="4" eb="5">
      <t>フク</t>
    </rPh>
    <rPh sb="6" eb="7">
      <t>ヒ</t>
    </rPh>
    <rPh sb="7" eb="9">
      <t>ジュウタク</t>
    </rPh>
    <rPh sb="9" eb="11">
      <t>ブブン</t>
    </rPh>
    <phoneticPr fontId="21"/>
  </si>
  <si>
    <t>■評価対象面積の入力</t>
    <rPh sb="1" eb="3">
      <t>ヒョウカ</t>
    </rPh>
    <rPh sb="3" eb="5">
      <t>タイショウ</t>
    </rPh>
    <rPh sb="5" eb="7">
      <t>メンセキ</t>
    </rPh>
    <rPh sb="8" eb="10">
      <t>ニュウリョク</t>
    </rPh>
    <phoneticPr fontId="21"/>
  </si>
  <si>
    <t>㎡</t>
    <phoneticPr fontId="21"/>
  </si>
  <si>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1"/>
  </si>
  <si>
    <t>■建物全体のレベル（上記（１）（２）（３）による評価）</t>
    <rPh sb="1" eb="3">
      <t>タテモノ</t>
    </rPh>
    <rPh sb="3" eb="5">
      <t>ゼンタイ</t>
    </rPh>
    <rPh sb="10" eb="12">
      <t>ジョウキ</t>
    </rPh>
    <rPh sb="24" eb="26">
      <t>ヒョウカ</t>
    </rPh>
    <phoneticPr fontId="21"/>
  </si>
  <si>
    <t>（１）BEI</t>
    <phoneticPr fontId="21"/>
  </si>
  <si>
    <t>（２）BEIｍ</t>
    <phoneticPr fontId="21"/>
  </si>
  <si>
    <t>（３）仕様基準</t>
    <rPh sb="3" eb="5">
      <t>シヨウ</t>
    </rPh>
    <rPh sb="5" eb="7">
      <t>キジュン</t>
    </rPh>
    <phoneticPr fontId="21"/>
  </si>
  <si>
    <t>評価対象面積合計</t>
    <rPh sb="0" eb="2">
      <t>ヒョウカ</t>
    </rPh>
    <rPh sb="2" eb="4">
      <t>タイショウ</t>
    </rPh>
    <rPh sb="4" eb="6">
      <t>メンセキ</t>
    </rPh>
    <rPh sb="6" eb="8">
      <t>ゴウケイ</t>
    </rPh>
    <phoneticPr fontId="21"/>
  </si>
  <si>
    <t>3</t>
    <phoneticPr fontId="21"/>
  </si>
  <si>
    <t>一次エネルギー消費量の転記</t>
    <rPh sb="0" eb="2">
      <t>イチジ</t>
    </rPh>
    <rPh sb="7" eb="10">
      <t>ショウヒリョウ</t>
    </rPh>
    <rPh sb="11" eb="13">
      <t>テンキ</t>
    </rPh>
    <phoneticPr fontId="21"/>
  </si>
  <si>
    <t>住戸合計</t>
    <rPh sb="0" eb="2">
      <t>ジュウコ</t>
    </rPh>
    <rPh sb="2" eb="4">
      <t>ゴウケイ</t>
    </rPh>
    <phoneticPr fontId="21"/>
  </si>
  <si>
    <t>共用部</t>
    <rPh sb="0" eb="2">
      <t>キョウヨウ</t>
    </rPh>
    <phoneticPr fontId="21"/>
  </si>
  <si>
    <t>共用部ゲストルーム等
住戸扱い</t>
  </si>
  <si>
    <t>■基準一次エネルギー消費量 (その他一次ｴﾈﾙｷﾞｰを含む)</t>
    <rPh sb="1" eb="3">
      <t>ｷｼﾞｭﾝ</t>
    </rPh>
    <rPh sb="3" eb="5">
      <t>ｲﾁｼﾞ</t>
    </rPh>
    <rPh sb="10" eb="13">
      <t>ｼｮｳﾋﾘｮｳ</t>
    </rPh>
    <rPh sb="17" eb="18">
      <t>ﾎｶ</t>
    </rPh>
    <rPh sb="18" eb="20">
      <t>ｲﾁｼﾞ</t>
    </rPh>
    <rPh sb="27" eb="28">
      <t>ﾌｸ</t>
    </rPh>
    <phoneticPr fontId="34" type="noConversion"/>
  </si>
  <si>
    <t>■設計一次エネルギー消費量 (その他一次ｴﾈﾙｷﾞｰを含む)</t>
    <rPh sb="1" eb="3">
      <t>ｾｯｹｲ</t>
    </rPh>
    <rPh sb="3" eb="5">
      <t>ｲﾁｼﾞ</t>
    </rPh>
    <rPh sb="10" eb="13">
      <t>ｼｮｳﾋﾘｮｳ</t>
    </rPh>
    <phoneticPr fontId="34" type="noConversion"/>
  </si>
  <si>
    <t>■太陽光発電等エネルギー量（③ｵﾝｻｲﾄの取組）</t>
    <rPh sb="1" eb="4">
      <t>ﾀｲﾖｳｺｳ</t>
    </rPh>
    <rPh sb="4" eb="6">
      <t>ﾊﾂﾃﾞﾝ</t>
    </rPh>
    <rPh sb="6" eb="7">
      <t>ﾄｳ</t>
    </rPh>
    <rPh sb="12" eb="13">
      <t>ﾘｮｳ</t>
    </rPh>
    <rPh sb="21" eb="23">
      <t>ﾄﾘｸﾐ</t>
    </rPh>
    <phoneticPr fontId="34" type="noConversion"/>
  </si>
  <si>
    <t>総量※</t>
    <rPh sb="0" eb="2">
      <t>ソウリョウ</t>
    </rPh>
    <phoneticPr fontId="21"/>
  </si>
  <si>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1"/>
  </si>
  <si>
    <t>※全量買取制度は評価対象外</t>
    <rPh sb="1" eb="3">
      <t>ゼンリョウ</t>
    </rPh>
    <rPh sb="3" eb="5">
      <t>カイトリ</t>
    </rPh>
    <rPh sb="5" eb="7">
      <t>セイド</t>
    </rPh>
    <rPh sb="8" eb="10">
      <t>ヒョウカ</t>
    </rPh>
    <rPh sb="10" eb="12">
      <t>タイショウ</t>
    </rPh>
    <rPh sb="12" eb="13">
      <t>ガイ</t>
    </rPh>
    <phoneticPr fontId="21"/>
  </si>
  <si>
    <t>注記；</t>
    <rPh sb="0" eb="2">
      <t>チュウキ</t>
    </rPh>
    <phoneticPr fontId="21"/>
  </si>
  <si>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1"/>
  </si>
  <si>
    <t>建築物の取組み（②）</t>
  </si>
  <si>
    <t xml:space="preserve">BEI = </t>
    <phoneticPr fontId="21"/>
  </si>
  <si>
    <t>自然ｴﾈﾙｷﾞｰ削減量</t>
    <rPh sb="0" eb="2">
      <t>シゼン</t>
    </rPh>
    <rPh sb="8" eb="10">
      <t>サクゲン</t>
    </rPh>
    <rPh sb="10" eb="11">
      <t>リョウ</t>
    </rPh>
    <phoneticPr fontId="21"/>
  </si>
  <si>
    <t>ｵﾝｻｲﾄの取組</t>
    <rPh sb="6" eb="8">
      <t>トリクミ</t>
    </rPh>
    <phoneticPr fontId="21"/>
  </si>
  <si>
    <t>一次ｴﾈﾙｷﾞｰ消費量</t>
    <rPh sb="0" eb="2">
      <t>イチジ</t>
    </rPh>
    <rPh sb="8" eb="11">
      <t>ショウヒリョウ</t>
    </rPh>
    <phoneticPr fontId="23"/>
  </si>
  <si>
    <t>㎡</t>
    <phoneticPr fontId="21"/>
  </si>
  <si>
    <t>電気分</t>
    <rPh sb="0" eb="2">
      <t>デンキ</t>
    </rPh>
    <rPh sb="2" eb="3">
      <t>ブン</t>
    </rPh>
    <phoneticPr fontId="21"/>
  </si>
  <si>
    <t>㎡</t>
    <phoneticPr fontId="21"/>
  </si>
  <si>
    <t>算定プログラムを用いる評価</t>
    <rPh sb="0" eb="2">
      <t>サンテイ</t>
    </rPh>
    <rPh sb="8" eb="9">
      <t>モチ</t>
    </rPh>
    <rPh sb="11" eb="13">
      <t>ヒョウカ</t>
    </rPh>
    <phoneticPr fontId="21"/>
  </si>
  <si>
    <t>㎡</t>
    <phoneticPr fontId="21"/>
  </si>
  <si>
    <t>算定プログラムを用いない評価</t>
    <rPh sb="0" eb="2">
      <t>サンテイ</t>
    </rPh>
    <rPh sb="8" eb="9">
      <t>モチ</t>
    </rPh>
    <rPh sb="12" eb="14">
      <t>ヒョウカ</t>
    </rPh>
    <phoneticPr fontId="21"/>
  </si>
  <si>
    <t>物・飲・会・病・ホ</t>
  </si>
  <si>
    <t>豊かな室外環境</t>
    <rPh sb="0" eb="1">
      <t>ﾕﾀ</t>
    </rPh>
    <rPh sb="3" eb="5">
      <t>ｼﾂｶﾞｲ</t>
    </rPh>
    <rPh sb="5" eb="7">
      <t>ｶﾝｷｮｳ</t>
    </rPh>
    <phoneticPr fontId="34" type="noConversion"/>
  </si>
  <si>
    <t>知的生産性向上の取組み</t>
    <rPh sb="0" eb="7">
      <t>チテキセイサンセイコウジョウ</t>
    </rPh>
    <rPh sb="8" eb="10">
      <t>トリクミ</t>
    </rPh>
    <phoneticPr fontId="21"/>
  </si>
  <si>
    <t>躯体のリサイクル・リユース</t>
  </si>
  <si>
    <t>屋根材のリサイクル・リユース</t>
  </si>
  <si>
    <t>外壁材のリサイクル・リユース</t>
  </si>
  <si>
    <t>内装材のリサイクル・リユース</t>
  </si>
  <si>
    <t>設備機器のリサイクル・リユース</t>
  </si>
  <si>
    <t>外構資材のリユース</t>
  </si>
  <si>
    <t>廃棄物発生量の最小化</t>
    <phoneticPr fontId="21"/>
  </si>
  <si>
    <t>（天井高）</t>
    <rPh sb="1" eb="3">
      <t>テンジョウ</t>
    </rPh>
    <rPh sb="3" eb="4">
      <t>ダカ</t>
    </rPh>
    <phoneticPr fontId="21"/>
  </si>
  <si>
    <t>（窓の配置）</t>
    <rPh sb="1" eb="2">
      <t>マド</t>
    </rPh>
    <rPh sb="3" eb="5">
      <t>ハイチ</t>
    </rPh>
    <phoneticPr fontId="21"/>
  </si>
  <si>
    <t>耐震性(建物のこわれにくさ)</t>
    <rPh sb="0" eb="3">
      <t>タイシンセイ</t>
    </rPh>
    <rPh sb="4" eb="6">
      <t>タテモノ</t>
    </rPh>
    <phoneticPr fontId="21"/>
  </si>
  <si>
    <t>免震・制震・制振性能</t>
    <rPh sb="0" eb="2">
      <t>メンシン</t>
    </rPh>
    <rPh sb="3" eb="5">
      <t>セイシン</t>
    </rPh>
    <rPh sb="6" eb="8">
      <t>セイシン</t>
    </rPh>
    <rPh sb="8" eb="10">
      <t>セイノウ</t>
    </rPh>
    <phoneticPr fontId="21"/>
  </si>
  <si>
    <t>重点項目</t>
    <rPh sb="0" eb="2">
      <t>ジュウテン</t>
    </rPh>
    <rPh sb="2" eb="4">
      <t>コウモク</t>
    </rPh>
    <phoneticPr fontId="21"/>
  </si>
  <si>
    <t>非住宅</t>
    <rPh sb="0" eb="1">
      <t>ヒ</t>
    </rPh>
    <rPh sb="1" eb="3">
      <t>ジュウタク</t>
    </rPh>
    <phoneticPr fontId="21"/>
  </si>
  <si>
    <t>集合
住宅</t>
    <rPh sb="0" eb="2">
      <t>シュウゴウ</t>
    </rPh>
    <rPh sb="3" eb="5">
      <t>ジュウタク</t>
    </rPh>
    <phoneticPr fontId="21"/>
  </si>
  <si>
    <t>W</t>
    <phoneticPr fontId="21"/>
  </si>
  <si>
    <t>W ⑨</t>
    <phoneticPr fontId="21"/>
  </si>
  <si>
    <t>W ⑤</t>
    <phoneticPr fontId="21"/>
  </si>
  <si>
    <t>W ⑨</t>
  </si>
  <si>
    <t>W ⑥</t>
    <phoneticPr fontId="21"/>
  </si>
  <si>
    <t>W ⑩</t>
    <phoneticPr fontId="21"/>
  </si>
  <si>
    <t>W ⑩</t>
  </si>
  <si>
    <t>W ⑪</t>
    <phoneticPr fontId="21"/>
  </si>
  <si>
    <t>W ⑪</t>
  </si>
  <si>
    <t>W ⑫</t>
    <phoneticPr fontId="21"/>
  </si>
  <si>
    <t>W ⑫</t>
  </si>
  <si>
    <t>R</t>
    <phoneticPr fontId="21"/>
  </si>
  <si>
    <t>R ⑮</t>
  </si>
  <si>
    <t>R ⑯</t>
  </si>
  <si>
    <t>R ⑰</t>
    <phoneticPr fontId="21"/>
  </si>
  <si>
    <t>R ⑰</t>
  </si>
  <si>
    <t>T ⑱</t>
    <phoneticPr fontId="21"/>
  </si>
  <si>
    <t>T ⑲</t>
    <phoneticPr fontId="21"/>
  </si>
  <si>
    <t>T ⑳</t>
    <phoneticPr fontId="21"/>
  </si>
  <si>
    <t>W ⑭</t>
    <phoneticPr fontId="21"/>
  </si>
  <si>
    <t>E ①</t>
  </si>
  <si>
    <t>E ②</t>
  </si>
  <si>
    <t>E ③</t>
  </si>
  <si>
    <t>E ④</t>
  </si>
  <si>
    <t>LR2/1.1</t>
  </si>
  <si>
    <t>LR2/1.2.1</t>
  </si>
  <si>
    <t>LR2/1.2.2</t>
  </si>
  <si>
    <t>LR2/2.1</t>
  </si>
  <si>
    <t>LR2/2.2</t>
  </si>
  <si>
    <t>LR2/2.3</t>
  </si>
  <si>
    <t>LR2/2.4</t>
  </si>
  <si>
    <t>LR2/2.5</t>
  </si>
  <si>
    <t>LR2/2.6</t>
  </si>
  <si>
    <t>LR2/3.1</t>
  </si>
  <si>
    <t>LR2/3.2.1</t>
  </si>
  <si>
    <t>LR2/3.2.2</t>
  </si>
  <si>
    <t>LR2/3.2.3</t>
  </si>
  <si>
    <t>忘れずに、外観パース等を</t>
    <rPh sb="0" eb="1">
      <t>ワス</t>
    </rPh>
    <rPh sb="5" eb="7">
      <t>ガイカン</t>
    </rPh>
    <rPh sb="10" eb="11">
      <t>トウ</t>
    </rPh>
    <phoneticPr fontId="21"/>
  </si>
  <si>
    <t>貼り付けてください</t>
    <rPh sb="0" eb="1">
      <t>ハ</t>
    </rPh>
    <rPh sb="2" eb="3">
      <t>ツ</t>
    </rPh>
    <phoneticPr fontId="21"/>
  </si>
  <si>
    <t>←入力を忘れ</t>
    <rPh sb="1" eb="3">
      <t>ニュウリョク</t>
    </rPh>
    <rPh sb="4" eb="5">
      <t>ワス</t>
    </rPh>
    <phoneticPr fontId="21"/>
  </si>
  <si>
    <t>　ないこと</t>
    <phoneticPr fontId="21"/>
  </si>
  <si>
    <t>物・飲・会・病・ホ・事・学・工・住</t>
    <rPh sb="0" eb="1">
      <t>モノ</t>
    </rPh>
    <rPh sb="2" eb="3">
      <t>オン</t>
    </rPh>
    <rPh sb="4" eb="5">
      <t>カイ</t>
    </rPh>
    <rPh sb="6" eb="7">
      <t>ヤマイ</t>
    </rPh>
    <rPh sb="10" eb="11">
      <t>コト</t>
    </rPh>
    <rPh sb="12" eb="13">
      <t>ガク</t>
    </rPh>
    <rPh sb="14" eb="15">
      <t>コウ</t>
    </rPh>
    <rPh sb="16" eb="17">
      <t>ジュウ</t>
    </rPh>
    <phoneticPr fontId="21"/>
  </si>
  <si>
    <t>レベル３を満たさない。</t>
    <phoneticPr fontId="21"/>
  </si>
  <si>
    <t>バリアフリー条例の整備基準（義務）を満たしている，又は同等の整備と認められる。</t>
    <phoneticPr fontId="21"/>
  </si>
  <si>
    <t>バリアフリー条例の整備基準（努力）を満たしている，又は同等の整備と認められる。</t>
    <phoneticPr fontId="21"/>
  </si>
  <si>
    <t>バリアフリー条例の整備基準（努力）を超えてさらに十分な配慮を行っており，ユニバーサルなデザインとなっている。</t>
    <phoneticPr fontId="21"/>
  </si>
  <si>
    <t>事・学・物・飲・会・病・ホ・工・住</t>
    <phoneticPr fontId="21"/>
  </si>
  <si>
    <t>水質汚濁防止法あるいは下水道法，又は京都市で定める排出基準のうち厳しい基準を満たしている。</t>
    <phoneticPr fontId="21"/>
  </si>
  <si>
    <t>排出基準を満たした上でそれ以上の特別な工夫を実施し，汚水処理負荷を高く抑制している。</t>
    <phoneticPr fontId="21"/>
  </si>
  <si>
    <t>流出抑制対策を行っていない。</t>
    <phoneticPr fontId="21"/>
  </si>
  <si>
    <t>(該当するレベルなし)</t>
    <phoneticPr fontId="21"/>
  </si>
  <si>
    <t>流出抑制対策を行っているものの，指導規模を満足していない。</t>
    <phoneticPr fontId="21"/>
  </si>
  <si>
    <t>指導規模の流出抑制対策を実施している。</t>
    <phoneticPr fontId="22"/>
  </si>
  <si>
    <t>指導規模を満たしており，かつその20％以上の雨水処理対策を実施している。</t>
    <phoneticPr fontId="21"/>
  </si>
  <si>
    <t>昼間（am8時～pm6時），朝・夕（am6時～am8時，pm6時～pm10時），夜間（pm10時～翌朝6時）のいずれの計測時も下記を満たしていること</t>
    <phoneticPr fontId="21"/>
  </si>
  <si>
    <t>50dB以下
（45dB以下）</t>
    <phoneticPr fontId="21"/>
  </si>
  <si>
    <t>50dB以下
（45dB以下）</t>
    <phoneticPr fontId="21"/>
  </si>
  <si>
    <r>
      <rPr>
        <sz val="8"/>
        <rFont val="ＭＳ Ｐゴシック"/>
        <family val="3"/>
        <charset val="128"/>
      </rPr>
      <t>※学校，保育園，病院，診療所のうち患者を入院させるための施設を有するもの，図書館，特別養護老人ホーム，幼保連携型認定こども園の敷地の周囲</t>
    </r>
    <r>
      <rPr>
        <sz val="8"/>
        <rFont val="Arial"/>
        <family val="2"/>
      </rPr>
      <t>50m</t>
    </r>
    <r>
      <rPr>
        <sz val="8"/>
        <rFont val="ＭＳ Ｐゴシック"/>
        <family val="3"/>
        <charset val="128"/>
      </rPr>
      <t>の区域内においては（</t>
    </r>
    <r>
      <rPr>
        <sz val="8"/>
        <rFont val="Arial"/>
        <family val="2"/>
      </rPr>
      <t xml:space="preserve"> </t>
    </r>
    <r>
      <rPr>
        <sz val="8"/>
        <rFont val="ＭＳ Ｐゴシック"/>
        <family val="3"/>
        <charset val="128"/>
      </rPr>
      <t>）内の数値。</t>
    </r>
    <phoneticPr fontId="21"/>
  </si>
  <si>
    <t>45dB以下
（40dB以下）</t>
    <phoneticPr fontId="21"/>
  </si>
  <si>
    <t>35dB以下
（30dB以下）</t>
    <phoneticPr fontId="21"/>
  </si>
  <si>
    <t>40dB以下
（35dB以下）</t>
    <phoneticPr fontId="21"/>
  </si>
  <si>
    <t>65dB以下
（60dB以下）</t>
    <phoneticPr fontId="21"/>
  </si>
  <si>
    <t>55dB以下
（50dB以下）</t>
    <phoneticPr fontId="21"/>
  </si>
  <si>
    <t>50dB以下
（45dB以下）</t>
    <phoneticPr fontId="21"/>
  </si>
  <si>
    <t>70dB以下
（65dB以下）</t>
    <phoneticPr fontId="21"/>
  </si>
  <si>
    <t>60dB以下
（55dB以下）</t>
    <phoneticPr fontId="21"/>
  </si>
  <si>
    <r>
      <t>騒音規制法，京都府環境を守り育てる条例，又は大規模小売店舗立地法に定める現行の規制基準</t>
    </r>
    <r>
      <rPr>
        <vertAlign val="superscript"/>
        <sz val="9"/>
        <rFont val="ＭＳ Ｐゴシック"/>
        <family val="3"/>
        <charset val="128"/>
      </rPr>
      <t>*1）</t>
    </r>
    <r>
      <rPr>
        <sz val="9"/>
        <rFont val="ＭＳ Ｐゴシック"/>
        <family val="3"/>
        <charset val="128"/>
      </rPr>
      <t>を上回っている</t>
    </r>
    <phoneticPr fontId="21"/>
  </si>
  <si>
    <r>
      <t>騒音規制法，京都府環境を守り育てる条例，又は大規模小売店舗立地法に定める現行の規制基準</t>
    </r>
    <r>
      <rPr>
        <vertAlign val="superscript"/>
        <sz val="9"/>
        <rFont val="ＭＳ Ｐゴシック"/>
        <family val="3"/>
        <charset val="128"/>
      </rPr>
      <t>*1）</t>
    </r>
    <r>
      <rPr>
        <sz val="9"/>
        <rFont val="ＭＳ Ｐゴシック"/>
        <family val="3"/>
        <charset val="128"/>
      </rPr>
      <t>以下に抑えられている</t>
    </r>
    <phoneticPr fontId="21"/>
  </si>
  <si>
    <r>
      <t>騒音規制法，京都府環境を守り育てる条例，又は大規模小売店舗立地法に定める現行の規制基準</t>
    </r>
    <r>
      <rPr>
        <vertAlign val="superscript"/>
        <sz val="9"/>
        <rFont val="ＭＳ Ｐゴシック"/>
        <family val="3"/>
        <charset val="128"/>
      </rPr>
      <t>*1）</t>
    </r>
    <r>
      <rPr>
        <sz val="9"/>
        <rFont val="ＭＳ Ｐゴシック"/>
        <family val="3"/>
        <charset val="128"/>
      </rPr>
      <t>より大幅</t>
    </r>
    <r>
      <rPr>
        <vertAlign val="superscript"/>
        <sz val="9"/>
        <rFont val="ＭＳ Ｐゴシック"/>
        <family val="3"/>
        <charset val="128"/>
      </rPr>
      <t>*2）</t>
    </r>
    <r>
      <rPr>
        <sz val="9"/>
        <rFont val="ＭＳ Ｐゴシック"/>
        <family val="3"/>
        <charset val="128"/>
      </rPr>
      <t>に抑えられている</t>
    </r>
    <rPh sb="0" eb="2">
      <t>ソウオン</t>
    </rPh>
    <rPh sb="2" eb="5">
      <t>キセイホウ</t>
    </rPh>
    <rPh sb="6" eb="9">
      <t>キョウトフ</t>
    </rPh>
    <rPh sb="9" eb="11">
      <t>カンキョウ</t>
    </rPh>
    <rPh sb="12" eb="13">
      <t>マモ</t>
    </rPh>
    <rPh sb="14" eb="15">
      <t>ソダ</t>
    </rPh>
    <rPh sb="17" eb="19">
      <t>ジョウレイ</t>
    </rPh>
    <rPh sb="20" eb="21">
      <t>マタ</t>
    </rPh>
    <rPh sb="22" eb="25">
      <t>ダイキボ</t>
    </rPh>
    <rPh sb="25" eb="27">
      <t>コウリ</t>
    </rPh>
    <rPh sb="27" eb="29">
      <t>テンポ</t>
    </rPh>
    <rPh sb="29" eb="31">
      <t>リッチ</t>
    </rPh>
    <rPh sb="31" eb="32">
      <t>ホウ</t>
    </rPh>
    <rPh sb="33" eb="34">
      <t>サダ</t>
    </rPh>
    <rPh sb="36" eb="38">
      <t>ゲンコウ</t>
    </rPh>
    <rPh sb="39" eb="41">
      <t>キセイ</t>
    </rPh>
    <rPh sb="41" eb="43">
      <t>キジュン</t>
    </rPh>
    <rPh sb="48" eb="50">
      <t>オオハバ</t>
    </rPh>
    <rPh sb="54" eb="55">
      <t>オサ</t>
    </rPh>
    <phoneticPr fontId="21"/>
  </si>
  <si>
    <r>
      <t>振動規制法に定める現行の規制基準</t>
    </r>
    <r>
      <rPr>
        <vertAlign val="superscript"/>
        <sz val="9"/>
        <rFont val="ＭＳ Ｐゴシック"/>
        <family val="3"/>
        <charset val="128"/>
      </rPr>
      <t>*1）</t>
    </r>
    <r>
      <rPr>
        <sz val="9"/>
        <rFont val="ＭＳ Ｐゴシック"/>
        <family val="3"/>
        <charset val="128"/>
      </rPr>
      <t>を上回っている</t>
    </r>
    <rPh sb="0" eb="2">
      <t>シンドウ</t>
    </rPh>
    <rPh sb="2" eb="5">
      <t>キセイホウ</t>
    </rPh>
    <rPh sb="6" eb="7">
      <t>サダ</t>
    </rPh>
    <rPh sb="9" eb="11">
      <t>ゲンコウ</t>
    </rPh>
    <rPh sb="12" eb="14">
      <t>キセイ</t>
    </rPh>
    <rPh sb="14" eb="16">
      <t>キジュン</t>
    </rPh>
    <rPh sb="20" eb="22">
      <t>ウワマワ</t>
    </rPh>
    <phoneticPr fontId="21"/>
  </si>
  <si>
    <r>
      <t>振動規制法に定める現行の規制基準</t>
    </r>
    <r>
      <rPr>
        <vertAlign val="superscript"/>
        <sz val="9"/>
        <rFont val="ＭＳ Ｐゴシック"/>
        <family val="3"/>
        <charset val="128"/>
      </rPr>
      <t>*1）</t>
    </r>
    <r>
      <rPr>
        <sz val="9"/>
        <rFont val="ＭＳ Ｐゴシック"/>
        <family val="3"/>
        <charset val="128"/>
      </rPr>
      <t>以下に抑えられている</t>
    </r>
    <rPh sb="0" eb="2">
      <t>シンドウ</t>
    </rPh>
    <rPh sb="2" eb="5">
      <t>キセイホウ</t>
    </rPh>
    <rPh sb="6" eb="7">
      <t>サダ</t>
    </rPh>
    <rPh sb="9" eb="11">
      <t>ゲンコウ</t>
    </rPh>
    <rPh sb="12" eb="14">
      <t>キセイ</t>
    </rPh>
    <rPh sb="14" eb="16">
      <t>キジュン</t>
    </rPh>
    <rPh sb="19" eb="21">
      <t>イカ</t>
    </rPh>
    <rPh sb="22" eb="23">
      <t>オサ</t>
    </rPh>
    <phoneticPr fontId="21"/>
  </si>
  <si>
    <r>
      <t>振動規制法に定める現行の規制基準</t>
    </r>
    <r>
      <rPr>
        <vertAlign val="superscript"/>
        <sz val="9"/>
        <rFont val="ＭＳ Ｐゴシック"/>
        <family val="3"/>
        <charset val="128"/>
      </rPr>
      <t>*1）</t>
    </r>
    <r>
      <rPr>
        <sz val="9"/>
        <rFont val="ＭＳ Ｐゴシック"/>
        <family val="3"/>
        <charset val="128"/>
      </rPr>
      <t>より大幅</t>
    </r>
    <r>
      <rPr>
        <vertAlign val="superscript"/>
        <sz val="9"/>
        <rFont val="ＭＳ Ｐゴシック"/>
        <family val="3"/>
        <charset val="128"/>
      </rPr>
      <t>*2）</t>
    </r>
    <r>
      <rPr>
        <sz val="9"/>
        <rFont val="ＭＳ Ｐゴシック"/>
        <family val="3"/>
        <charset val="128"/>
      </rPr>
      <t>に抑えられている</t>
    </r>
    <phoneticPr fontId="21"/>
  </si>
  <si>
    <t>55dB以下</t>
    <phoneticPr fontId="21"/>
  </si>
  <si>
    <t>65dB以下
（60dB以下）</t>
    <phoneticPr fontId="21"/>
  </si>
  <si>
    <t>50dB以下</t>
    <phoneticPr fontId="21"/>
  </si>
  <si>
    <t>Q1/3.1.3 昼光利用設備</t>
    <phoneticPr fontId="21"/>
  </si>
  <si>
    <t>CASBEE京都-新築　独自システム2018(v.1.0)</t>
    <rPh sb="6" eb="8">
      <t>キョウト</t>
    </rPh>
    <rPh sb="9" eb="11">
      <t>シンチク</t>
    </rPh>
    <rPh sb="12" eb="14">
      <t>ドクジ</t>
    </rPh>
    <phoneticPr fontId="21"/>
  </si>
  <si>
    <t xml:space="preserve">    （グレア）への対策</t>
    <phoneticPr fontId="21"/>
  </si>
  <si>
    <t>建物全体・共用部分</t>
    <phoneticPr fontId="21"/>
  </si>
  <si>
    <t>住居・宿泊部分</t>
    <phoneticPr fontId="21"/>
  </si>
  <si>
    <t xml:space="preserve">注）　「Q2　サービス性能」に対する配慮事項を簡潔に記載してください。
</t>
    <phoneticPr fontId="21"/>
  </si>
  <si>
    <t xml:space="preserve">注）　「LR3　敷地外環境」に対する配慮事項を簡潔に記載してください。
</t>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</si>
</sst>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176" formatCode="0;0;&quot;&quot;"/>
    <numFmt numFmtId="177" formatCode="0.0_ "/>
    <numFmt numFmtId="178" formatCode="0.00_ "/>
    <numFmt numFmtId="179" formatCode="0.00_);[Red]\(0.00\)"/>
    <numFmt numFmtId="180" formatCode="0.00;0.00;&quot;適用外&quot;"/>
    <numFmt numFmtId="181" formatCode=";;&quot;&quot;"/>
    <numFmt numFmtId="182" formatCode="0;0;&quot;－&quot;"/>
    <numFmt numFmtId="183" formatCode="#,##0_ "/>
    <numFmt numFmtId="184" formatCode="0.0"/>
    <numFmt numFmtId="185" formatCode="0.0;0.0;&quot;-&quot;\ "/>
    <numFmt numFmtId="186" formatCode="0.00;0.00;&quot;-&quot;\ "/>
    <numFmt numFmtId="187" formatCode="0.0;0.0;&quot;－&quot;"/>
    <numFmt numFmtId="188" formatCode="#,##0.0;[Red]\-#,##0.0"/>
    <numFmt numFmtId="189" formatCode="0.00;0.00;&quot;－&quot;"/>
    <numFmt numFmtId="190" formatCode="0.000_ "/>
    <numFmt numFmtId="191" formatCode="0.000_);[Red]\(0.000\)"/>
    <numFmt numFmtId="192" formatCode="0_ "/>
    <numFmt numFmtId="193" formatCode="#,###&quot;㎡&quot;"/>
    <numFmt numFmtId="194" formatCode="&quot;レベル &quot;#"/>
    <numFmt numFmtId="195" formatCode="#&quot;ポイント&quot;"/>
    <numFmt numFmtId="196" formatCode="#&quot;点&quot;"/>
    <numFmt numFmtId="197" formatCode="0.00;0.00;&quot;&quot;\ "/>
    <numFmt numFmtId="198" formatCode="0.00;0.00;&quot;-&quot;"/>
    <numFmt numFmtId="199" formatCode="&quot;レベル &quot;#.0"/>
    <numFmt numFmtId="200" formatCode="&quot;レベル &quot;#0.0"/>
    <numFmt numFmtId="201" formatCode="&quot;レベル &quot;#.0;0.0;&quot;レベル&quot;"/>
    <numFmt numFmtId="202" formatCode="0.00;0.00;&quot;対象外&quot;"/>
    <numFmt numFmtId="203" formatCode="&quot;レベル &quot;#0.0;0.00;&quot;対象外&quot;"/>
    <numFmt numFmtId="204" formatCode="0.0;_Ā"/>
    <numFmt numFmtId="205" formatCode="0.000;_Ā"/>
    <numFmt numFmtId="206" formatCode="#&quot; ポイント&quot;;0.0;&quot;0 ポイント&quot;"/>
    <numFmt numFmtId="207" formatCode="#&quot; ポイント&quot;;\-#&quot; ポイント&quot;;&quot;0 ポイント&quot;"/>
    <numFmt numFmtId="208" formatCode="#&quot; ポイント&quot;;;0&quot; ポイント&quot;"/>
    <numFmt numFmtId="209" formatCode="&quot;レベル &quot;#;0;&quot;レベル&quot;"/>
    <numFmt numFmtId="210" formatCode="0.0000"/>
    <numFmt numFmtId="211" formatCode="#&quot;年&quot;"/>
    <numFmt numFmtId="212" formatCode="#,##0.000;[Red]\-#,##0.000"/>
    <numFmt numFmtId="213" formatCode="0.0000_ "/>
    <numFmt numFmtId="214" formatCode="0.0_);[Red]\(0.0\)"/>
    <numFmt numFmtId="215" formatCode="0.000000_ "/>
    <numFmt numFmtId="216" formatCode="General;General;"/>
    <numFmt numFmtId="217" formatCode="0.0;\-0.0&quot; ポイント&quot;;&quot;0 ポイント&quot;"/>
    <numFmt numFmtId="218" formatCode="0.00000_ "/>
    <numFmt numFmtId="219" formatCode="0.000"/>
    <numFmt numFmtId="220" formatCode="0.0;0.0;&quot;-&quot;"/>
    <numFmt numFmtId="221" formatCode="#&quot;項目&quot;"/>
    <numFmt numFmtId="222" formatCode="&quot;/&quot;0"/>
    <numFmt numFmtId="223" formatCode="#&quot;／6項目&quot;"/>
    <numFmt numFmtId="224" formatCode="0_);\(0\)"/>
    <numFmt numFmtId="225" formatCode="0.000000"/>
    <numFmt numFmtId="226" formatCode="#,##0.00_ ;[Red]\-#,##0.00\ "/>
    <numFmt numFmtId="227" formatCode="0_);[Red]\(0\)"/>
  </numFmts>
  <fonts count="203">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b/>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b/>
      <sz val="10"/>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sz val="8"/>
      <color indexed="17"/>
      <name val="ＭＳ Ｐゴシック"/>
      <family val="3"/>
      <charset val="128"/>
    </font>
    <font>
      <sz val="11"/>
      <color indexed="23"/>
      <name val="ＭＳ Ｐゴシック"/>
      <family val="3"/>
      <charset val="128"/>
    </font>
    <font>
      <sz val="10.5"/>
      <name val="ＭＳ Ｐゴシック"/>
      <family val="3"/>
      <charset val="128"/>
    </font>
    <font>
      <sz val="50"/>
      <name val="ＭＳ Ｐゴシック"/>
      <family val="3"/>
      <charset val="128"/>
    </font>
    <font>
      <sz val="24"/>
      <name val="ＭＳ Ｐゴシック"/>
      <family val="3"/>
      <charset val="128"/>
    </font>
    <font>
      <b/>
      <sz val="20"/>
      <name val="ＭＳ Ｐゴシック"/>
      <family val="3"/>
      <charset val="128"/>
    </font>
    <font>
      <sz val="6"/>
      <name val="ＭＳ 明朝"/>
      <family val="1"/>
      <charset val="128"/>
    </font>
    <font>
      <sz val="12"/>
      <color indexed="9"/>
      <name val="ＭＳ Ｐゴシック"/>
      <family val="3"/>
      <charset val="128"/>
    </font>
    <font>
      <sz val="14"/>
      <color indexed="9"/>
      <name val="ＭＳ Ｐゴシック"/>
      <family val="3"/>
      <charset val="128"/>
    </font>
    <font>
      <sz val="11"/>
      <color theme="1"/>
      <name val="ＭＳ Ｐゴシック"/>
      <family val="3"/>
      <charset val="128"/>
      <scheme val="minor"/>
    </font>
    <font>
      <sz val="8"/>
      <color theme="1"/>
      <name val="ＭＳ Ｐゴシック"/>
      <family val="3"/>
      <charset val="128"/>
      <scheme val="minor"/>
    </font>
    <font>
      <sz val="10"/>
      <color theme="8" tint="-0.499984740745262"/>
      <name val="ＭＳ Ｐゴシック"/>
      <family val="3"/>
      <charset val="128"/>
    </font>
    <font>
      <sz val="9"/>
      <color rgb="FFFF0000"/>
      <name val="ＭＳ Ｐゴシック"/>
      <family val="3"/>
      <charset val="128"/>
    </font>
    <font>
      <vertAlign val="subscript"/>
      <sz val="11"/>
      <name val="ＭＳ Ｐゴシック"/>
      <family val="3"/>
      <charset val="128"/>
    </font>
    <font>
      <b/>
      <sz val="10"/>
      <color theme="2" tint="-0.499984740745262"/>
      <name val="ＭＳ Ｐゴシック"/>
      <family val="3"/>
      <charset val="128"/>
    </font>
    <font>
      <b/>
      <sz val="10"/>
      <color theme="5"/>
      <name val="ＭＳ Ｐゴシック"/>
      <family val="3"/>
      <charset val="128"/>
    </font>
    <font>
      <sz val="10"/>
      <color theme="2" tint="-0.499984740745262"/>
      <name val="ＭＳ Ｐゴシック"/>
      <family val="3"/>
      <charset val="128"/>
    </font>
    <font>
      <sz val="10"/>
      <color theme="5"/>
      <name val="ＭＳ Ｐゴシック"/>
      <family val="3"/>
      <charset val="128"/>
    </font>
    <font>
      <sz val="10"/>
      <color rgb="FFFF0000"/>
      <name val="Arial"/>
      <family val="2"/>
    </font>
    <font>
      <sz val="10"/>
      <color rgb="FFFF0000"/>
      <name val="ＭＳ Ｐゴシック"/>
      <family val="3"/>
      <charset val="128"/>
    </font>
    <font>
      <vertAlign val="superscript"/>
      <sz val="10"/>
      <color rgb="FFFF0000"/>
      <name val="Arial"/>
      <family val="2"/>
    </font>
    <font>
      <vertAlign val="superscript"/>
      <sz val="9"/>
      <color rgb="FFFF0000"/>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b/>
      <sz val="10"/>
      <color rgb="FFFF0000"/>
      <name val="ＭＳ Ｐゴシック"/>
      <family val="3"/>
      <charset val="128"/>
    </font>
    <font>
      <b/>
      <sz val="11"/>
      <color rgb="FF008000"/>
      <name val="ＭＳ Ｐゴシック"/>
      <family val="3"/>
      <charset val="128"/>
    </font>
    <font>
      <sz val="10"/>
      <color rgb="FF008000"/>
      <name val="ＭＳ Ｐゴシック"/>
      <family val="3"/>
      <charset val="128"/>
    </font>
    <font>
      <sz val="9"/>
      <color theme="5"/>
      <name val="Arial"/>
      <family val="2"/>
    </font>
    <font>
      <b/>
      <sz val="11"/>
      <color theme="5"/>
      <name val="ＭＳ Ｐゴシック"/>
      <family val="3"/>
      <charset val="128"/>
    </font>
    <font>
      <b/>
      <sz val="11"/>
      <color rgb="FFFF0000"/>
      <name val="ＭＳ Ｐゴシック"/>
      <family val="3"/>
      <charset val="128"/>
    </font>
    <font>
      <b/>
      <sz val="10"/>
      <color rgb="FFFF0000"/>
      <name val="Arial"/>
      <family val="2"/>
    </font>
    <font>
      <i/>
      <sz val="10"/>
      <color rgb="FFFF0000"/>
      <name val="ＭＳ Ｐゴシック"/>
      <family val="3"/>
      <charset val="128"/>
    </font>
    <font>
      <b/>
      <sz val="9"/>
      <color rgb="FFFF0000"/>
      <name val="ＭＳ Ｐゴシック"/>
      <family val="3"/>
      <charset val="128"/>
    </font>
    <font>
      <sz val="9"/>
      <color theme="1"/>
      <name val="ＭＳ Ｐゴシック"/>
      <family val="3"/>
      <charset val="128"/>
      <scheme val="minor"/>
    </font>
    <font>
      <sz val="10"/>
      <color theme="1"/>
      <name val="ＭＳ Ｐゴシック"/>
      <family val="3"/>
      <charset val="128"/>
      <scheme val="minor"/>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indexed="51"/>
        <bgColor indexed="64"/>
      </patternFill>
    </fill>
    <fill>
      <patternFill patternType="solid">
        <fgColor indexed="44"/>
        <bgColor indexed="64"/>
      </patternFill>
    </fill>
    <fill>
      <patternFill patternType="solid">
        <fgColor indexed="26"/>
        <bgColor indexed="26"/>
      </patternFill>
    </fill>
    <fill>
      <patternFill patternType="solid">
        <fgColor rgb="FFC0C0C0"/>
        <bgColor indexed="64"/>
      </patternFill>
    </fill>
    <fill>
      <patternFill patternType="solid">
        <fgColor theme="0" tint="-0.14999847407452621"/>
        <bgColor indexed="64"/>
      </patternFill>
    </fill>
    <fill>
      <patternFill patternType="solid">
        <fgColor rgb="FFCCFFFF"/>
        <bgColor indexed="64"/>
      </patternFill>
    </fill>
    <fill>
      <patternFill patternType="solid">
        <fgColor theme="3" tint="0.79998168889431442"/>
        <bgColor indexed="64"/>
      </patternFill>
    </fill>
    <fill>
      <patternFill patternType="solid">
        <fgColor rgb="FFFFFFCC"/>
        <bgColor rgb="FF000000"/>
      </patternFill>
    </fill>
    <fill>
      <patternFill patternType="lightTrellis">
        <fgColor rgb="FF000000"/>
        <bgColor rgb="FFFFFFCC"/>
      </patternFill>
    </fill>
    <fill>
      <patternFill patternType="solid">
        <fgColor rgb="FF00B0F0"/>
        <bgColor indexed="64"/>
      </patternFill>
    </fill>
    <fill>
      <patternFill patternType="solid">
        <fgColor theme="9" tint="0.39997558519241921"/>
        <bgColor indexed="64"/>
      </patternFill>
    </fill>
    <fill>
      <patternFill patternType="solid">
        <fgColor rgb="FFFF9900"/>
        <bgColor indexed="64"/>
      </patternFill>
    </fill>
    <fill>
      <patternFill patternType="solid">
        <fgColor rgb="FFFF99FF"/>
        <bgColor indexed="64"/>
      </patternFill>
    </fill>
    <fill>
      <patternFill patternType="solid">
        <fgColor rgb="FF99FF66"/>
        <bgColor indexed="64"/>
      </patternFill>
    </fill>
    <fill>
      <patternFill patternType="solid">
        <fgColor indexed="38"/>
        <bgColor indexed="64"/>
      </patternFill>
    </fill>
    <fill>
      <patternFill patternType="solid">
        <fgColor indexed="52"/>
        <bgColor indexed="64"/>
      </patternFill>
    </fill>
    <fill>
      <patternFill patternType="solid">
        <fgColor theme="0"/>
        <bgColor indexed="64"/>
      </patternFill>
    </fill>
    <fill>
      <patternFill patternType="solid">
        <fgColor indexed="34"/>
        <bgColor indexed="64"/>
      </patternFill>
    </fill>
  </fills>
  <borders count="28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medium">
        <color indexed="64"/>
      </left>
      <right/>
      <top style="medium">
        <color indexed="23"/>
      </top>
      <bottom style="thin">
        <color indexed="64"/>
      </bottom>
      <diagonal/>
    </border>
    <border>
      <left/>
      <right style="thin">
        <color indexed="64"/>
      </right>
      <top style="medium">
        <color indexed="23"/>
      </top>
      <bottom style="thin">
        <color indexed="64"/>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medium">
        <color indexed="23"/>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right/>
      <top/>
      <bottom style="medium">
        <color indexed="9"/>
      </bottom>
      <diagonal/>
    </border>
    <border>
      <left style="medium">
        <color indexed="64"/>
      </left>
      <right style="medium">
        <color indexed="64"/>
      </right>
      <top/>
      <bottom style="medium">
        <color indexed="9"/>
      </bottom>
      <diagonal/>
    </border>
    <border>
      <left style="medium">
        <color indexed="64"/>
      </left>
      <right style="medium">
        <color indexed="64"/>
      </right>
      <top style="medium">
        <color indexed="9"/>
      </top>
      <bottom style="medium">
        <color indexed="9"/>
      </bottom>
      <diagonal/>
    </border>
    <border>
      <left/>
      <right/>
      <top style="medium">
        <color indexed="9"/>
      </top>
      <bottom style="medium">
        <color indexed="64"/>
      </bottom>
      <diagonal/>
    </border>
    <border>
      <left style="medium">
        <color indexed="64"/>
      </left>
      <right style="medium">
        <color indexed="64"/>
      </right>
      <top style="medium">
        <color indexed="9"/>
      </top>
      <bottom style="medium">
        <color indexed="64"/>
      </bottom>
      <diagonal/>
    </border>
    <border>
      <left/>
      <right/>
      <top style="thin">
        <color indexed="64"/>
      </top>
      <bottom style="thin">
        <color indexed="9"/>
      </bottom>
      <diagonal/>
    </border>
    <border>
      <left style="medium">
        <color indexed="64"/>
      </left>
      <right style="medium">
        <color indexed="64"/>
      </right>
      <top style="thin">
        <color indexed="64"/>
      </top>
      <bottom style="thin">
        <color indexed="9"/>
      </bottom>
      <diagonal/>
    </border>
    <border>
      <left/>
      <right/>
      <top style="thin">
        <color indexed="9"/>
      </top>
      <bottom/>
      <diagonal/>
    </border>
    <border>
      <left style="medium">
        <color indexed="64"/>
      </left>
      <right style="medium">
        <color indexed="64"/>
      </right>
      <top style="thin">
        <color indexed="9"/>
      </top>
      <bottom/>
      <diagonal/>
    </border>
    <border>
      <left/>
      <right/>
      <top/>
      <bottom style="thin">
        <color indexed="9"/>
      </bottom>
      <diagonal/>
    </border>
    <border>
      <left style="medium">
        <color indexed="64"/>
      </left>
      <right style="medium">
        <color indexed="64"/>
      </right>
      <top/>
      <bottom style="thin">
        <color indexed="9"/>
      </bottom>
      <diagonal/>
    </border>
    <border>
      <left/>
      <right/>
      <top style="thin">
        <color indexed="9"/>
      </top>
      <bottom style="thin">
        <color indexed="64"/>
      </bottom>
      <diagonal/>
    </border>
    <border>
      <left style="medium">
        <color indexed="64"/>
      </left>
      <right style="medium">
        <color indexed="64"/>
      </right>
      <top style="thin">
        <color indexed="9"/>
      </top>
      <bottom style="thin">
        <color indexed="64"/>
      </bottom>
      <diagonal/>
    </border>
    <border>
      <left style="medium">
        <color indexed="64"/>
      </left>
      <right style="medium">
        <color indexed="64"/>
      </right>
      <top style="thin">
        <color indexed="9"/>
      </top>
      <bottom style="thin">
        <color indexed="9"/>
      </bottom>
      <diagonal/>
    </border>
    <border>
      <left/>
      <right/>
      <top style="thin">
        <color indexed="9"/>
      </top>
      <bottom style="thin">
        <color indexed="9"/>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theme="0"/>
      </left>
      <right style="thin">
        <color theme="0"/>
      </right>
      <top style="thin">
        <color theme="0"/>
      </top>
      <bottom style="thin">
        <color theme="0"/>
      </bottom>
      <diagonal/>
    </border>
    <border>
      <left style="medium">
        <color indexed="10"/>
      </left>
      <right style="medium">
        <color indexed="10"/>
      </right>
      <top style="medium">
        <color indexed="10"/>
      </top>
      <bottom/>
      <diagonal/>
    </border>
    <border>
      <left style="medium">
        <color indexed="10"/>
      </left>
      <right style="medium">
        <color indexed="10"/>
      </right>
      <top/>
      <bottom style="medium">
        <color indexed="10"/>
      </bottom>
      <diagonal/>
    </border>
    <border>
      <left style="medium">
        <color indexed="10"/>
      </left>
      <right style="medium">
        <color indexed="10"/>
      </right>
      <top style="medium">
        <color indexed="10"/>
      </top>
      <bottom style="medium">
        <color indexed="10"/>
      </bottom>
      <diagonal/>
    </border>
    <border>
      <left style="medium">
        <color indexed="10"/>
      </left>
      <right/>
      <top style="medium">
        <color indexed="10"/>
      </top>
      <bottom style="medium">
        <color indexed="10"/>
      </bottom>
      <diagonal/>
    </border>
    <border>
      <left/>
      <right style="medium">
        <color indexed="10"/>
      </right>
      <top style="thin">
        <color indexed="64"/>
      </top>
      <bottom/>
      <diagonal/>
    </border>
    <border>
      <left style="medium">
        <color indexed="10"/>
      </left>
      <right/>
      <top/>
      <bottom/>
      <diagonal/>
    </border>
    <border>
      <left/>
      <right style="medium">
        <color indexed="10"/>
      </right>
      <top/>
      <bottom/>
      <diagonal/>
    </border>
    <border>
      <left/>
      <right style="medium">
        <color indexed="10"/>
      </right>
      <top/>
      <bottom style="medium">
        <color indexed="64"/>
      </bottom>
      <diagonal/>
    </border>
    <border>
      <left/>
      <right/>
      <top style="medium">
        <color indexed="10"/>
      </top>
      <bottom style="medium">
        <color indexed="64"/>
      </bottom>
      <diagonal/>
    </border>
    <border>
      <left style="medium">
        <color indexed="40"/>
      </left>
      <right/>
      <top style="thin">
        <color indexed="40"/>
      </top>
      <bottom/>
      <diagonal/>
    </border>
    <border>
      <left style="medium">
        <color indexed="40"/>
      </left>
      <right style="thin">
        <color indexed="64"/>
      </right>
      <top style="medium">
        <color indexed="64"/>
      </top>
      <bottom/>
      <diagonal/>
    </border>
    <border>
      <left style="medium">
        <color indexed="40"/>
      </left>
      <right/>
      <top style="medium">
        <color indexed="40"/>
      </top>
      <bottom/>
      <diagonal/>
    </border>
    <border>
      <left style="medium">
        <color indexed="40"/>
      </left>
      <right style="thin">
        <color indexed="64"/>
      </right>
      <top/>
      <bottom style="medium">
        <color indexed="64"/>
      </bottom>
      <diagonal/>
    </border>
    <border>
      <left/>
      <right/>
      <top style="medium">
        <color indexed="40"/>
      </top>
      <bottom/>
      <diagonal/>
    </border>
    <border>
      <left style="hair">
        <color indexed="64"/>
      </left>
      <right/>
      <top style="thin">
        <color indexed="64"/>
      </top>
      <bottom/>
      <diagonal/>
    </border>
    <border>
      <left style="medium">
        <color indexed="10"/>
      </left>
      <right style="medium">
        <color indexed="10"/>
      </right>
      <top style="medium">
        <color indexed="10"/>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23"/>
      </top>
      <bottom/>
      <diagonal/>
    </border>
    <border>
      <left style="medium">
        <color indexed="64"/>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s>
  <cellStyleXfs count="50">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0" fontId="6" fillId="22" borderId="2" applyNumberFormat="0" applyFont="0" applyAlignment="0" applyProtection="0">
      <alignment vertical="center"/>
    </xf>
    <xf numFmtId="0" fontId="8"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38" fontId="6" fillId="0" borderId="0" applyFon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6" fillId="0" borderId="0"/>
    <xf numFmtId="0" fontId="6" fillId="0" borderId="0"/>
    <xf numFmtId="0" fontId="19" fillId="0" borderId="0"/>
    <xf numFmtId="0" fontId="20" fillId="4" borderId="0" applyNumberFormat="0" applyBorder="0" applyAlignment="0" applyProtection="0">
      <alignment vertical="center"/>
    </xf>
    <xf numFmtId="0" fontId="33" fillId="0" borderId="0">
      <alignment vertical="center"/>
    </xf>
    <xf numFmtId="0" fontId="177" fillId="0" borderId="0">
      <alignment vertical="center"/>
    </xf>
  </cellStyleXfs>
  <cellXfs count="4214">
    <xf numFmtId="0" fontId="0" fillId="0" borderId="0" xfId="0">
      <alignment vertical="center"/>
    </xf>
    <xf numFmtId="0" fontId="0" fillId="0" borderId="10" xfId="0" applyBorder="1">
      <alignment vertical="center"/>
    </xf>
    <xf numFmtId="0" fontId="0" fillId="0" borderId="15" xfId="0" applyBorder="1">
      <alignment vertical="center"/>
    </xf>
    <xf numFmtId="0" fontId="6" fillId="27" borderId="0" xfId="0" applyFont="1" applyFill="1" applyProtection="1">
      <alignment vertical="center"/>
    </xf>
    <xf numFmtId="0" fontId="11" fillId="27" borderId="0" xfId="0" applyFont="1" applyFill="1" applyAlignment="1" applyProtection="1">
      <alignment vertical="center"/>
    </xf>
    <xf numFmtId="0" fontId="24" fillId="28" borderId="0" xfId="0" applyFont="1" applyFill="1" applyBorder="1" applyAlignment="1" applyProtection="1">
      <alignment horizontal="centerContinuous" vertical="center"/>
      <protection hidden="1"/>
    </xf>
    <xf numFmtId="0" fontId="25" fillId="28" borderId="0" xfId="0" applyFont="1" applyFill="1" applyBorder="1" applyAlignment="1" applyProtection="1">
      <alignment horizontal="centerContinuous" vertical="center"/>
      <protection hidden="1"/>
    </xf>
    <xf numFmtId="0" fontId="24"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6" fillId="27" borderId="0" xfId="0" applyFont="1" applyFill="1" applyBorder="1" applyAlignment="1">
      <alignment horizontal="left" vertical="center"/>
    </xf>
    <xf numFmtId="0" fontId="27"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28" fillId="27" borderId="0" xfId="0" applyFont="1" applyFill="1" applyBorder="1" applyAlignment="1">
      <alignment horizontal="left" vertical="center"/>
    </xf>
    <xf numFmtId="0" fontId="29" fillId="27" borderId="0" xfId="0" applyFont="1" applyFill="1" applyBorder="1" applyAlignment="1">
      <alignment horizontal="left" vertical="center"/>
    </xf>
    <xf numFmtId="0" fontId="30"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1" fillId="28" borderId="21" xfId="0" applyFont="1" applyFill="1" applyBorder="1" applyAlignment="1" applyProtection="1">
      <alignment vertical="center"/>
      <protection hidden="1"/>
    </xf>
    <xf numFmtId="0" fontId="32" fillId="28" borderId="22" xfId="0" applyFont="1" applyFill="1" applyBorder="1" applyAlignment="1" applyProtection="1">
      <alignment vertical="center"/>
      <protection hidden="1"/>
    </xf>
    <xf numFmtId="0" fontId="32" fillId="28" borderId="23" xfId="0" applyFont="1" applyFill="1" applyBorder="1" applyAlignment="1" applyProtection="1">
      <alignment vertical="center"/>
      <protection hidden="1"/>
    </xf>
    <xf numFmtId="0" fontId="31" fillId="28" borderId="24" xfId="0" applyFont="1" applyFill="1" applyBorder="1" applyAlignment="1" applyProtection="1">
      <alignment vertical="center"/>
      <protection hidden="1"/>
    </xf>
    <xf numFmtId="0" fontId="32" fillId="28" borderId="0" xfId="0" applyFont="1" applyFill="1" applyBorder="1" applyAlignment="1" applyProtection="1">
      <alignment vertical="center"/>
      <protection hidden="1"/>
    </xf>
    <xf numFmtId="0" fontId="32" fillId="28" borderId="25" xfId="0" applyFont="1" applyFill="1" applyBorder="1" applyAlignment="1" applyProtection="1">
      <alignment vertical="center"/>
      <protection hidden="1"/>
    </xf>
    <xf numFmtId="0" fontId="0" fillId="27" borderId="0" xfId="0" applyFill="1" applyProtection="1">
      <alignment vertical="center"/>
    </xf>
    <xf numFmtId="49" fontId="33" fillId="27" borderId="24" xfId="0" applyNumberFormat="1" applyFont="1" applyFill="1" applyBorder="1" applyAlignment="1" applyProtection="1">
      <protection hidden="1"/>
    </xf>
    <xf numFmtId="0" fontId="33" fillId="0" borderId="10" xfId="0" applyFont="1" applyFill="1" applyBorder="1" applyAlignment="1" applyProtection="1">
      <alignment horizontal="right" vertical="center"/>
      <protection locked="0"/>
    </xf>
    <xf numFmtId="179" fontId="6" fillId="27" borderId="0" xfId="0" applyNumberFormat="1" applyFont="1" applyFill="1" applyBorder="1" applyAlignment="1" applyProtection="1">
      <alignment horizontal="right" vertical="center"/>
    </xf>
    <xf numFmtId="179" fontId="6" fillId="27" borderId="25" xfId="0" applyNumberFormat="1" applyFont="1" applyFill="1" applyBorder="1" applyAlignment="1" applyProtection="1">
      <alignment horizontal="right" vertical="center"/>
    </xf>
    <xf numFmtId="0" fontId="33" fillId="27" borderId="24" xfId="0" applyFont="1" applyFill="1" applyBorder="1" applyAlignment="1" applyProtection="1">
      <protection hidden="1"/>
    </xf>
    <xf numFmtId="0" fontId="33" fillId="0" borderId="26" xfId="0" applyFont="1" applyFill="1" applyBorder="1" applyAlignment="1" applyProtection="1">
      <alignment horizontal="left" vertical="center"/>
      <protection locked="0"/>
    </xf>
    <xf numFmtId="0" fontId="33" fillId="29" borderId="27" xfId="0" applyFont="1" applyFill="1" applyBorder="1" applyAlignment="1" applyProtection="1">
      <alignment horizontal="left" vertical="center"/>
      <protection locked="0"/>
    </xf>
    <xf numFmtId="0" fontId="35" fillId="0" borderId="28" xfId="0" applyFont="1" applyFill="1" applyBorder="1" applyAlignment="1" applyProtection="1">
      <alignment horizontal="center" vertical="center"/>
      <protection locked="0"/>
    </xf>
    <xf numFmtId="55" fontId="33" fillId="0" borderId="10" xfId="0" applyNumberFormat="1" applyFont="1" applyFill="1" applyBorder="1" applyAlignment="1" applyProtection="1">
      <alignment horizontal="right" vertical="center"/>
      <protection locked="0"/>
    </xf>
    <xf numFmtId="0" fontId="35" fillId="0" borderId="25" xfId="0" applyFont="1" applyFill="1" applyBorder="1" applyAlignment="1" applyProtection="1">
      <alignment horizontal="center" vertical="center"/>
      <protection locked="0"/>
    </xf>
    <xf numFmtId="179" fontId="33" fillId="0" borderId="10" xfId="35" applyNumberFormat="1" applyFont="1" applyFill="1" applyBorder="1" applyAlignment="1" applyProtection="1">
      <alignment horizontal="right" vertical="center"/>
      <protection locked="0"/>
    </xf>
    <xf numFmtId="0" fontId="28" fillId="27" borderId="0" xfId="0" applyFont="1" applyFill="1" applyBorder="1" applyAlignment="1" applyProtection="1">
      <alignment horizontal="left" vertical="center"/>
      <protection hidden="1"/>
    </xf>
    <xf numFmtId="40" fontId="6" fillId="27" borderId="10" xfId="35" applyNumberFormat="1" applyFont="1" applyFill="1" applyBorder="1" applyAlignment="1" applyProtection="1">
      <alignment horizontal="right" vertical="center"/>
    </xf>
    <xf numFmtId="0" fontId="33" fillId="27" borderId="24" xfId="0" applyFont="1" applyFill="1" applyBorder="1" applyAlignment="1" applyProtection="1">
      <alignment horizontal="left"/>
      <protection hidden="1"/>
    </xf>
    <xf numFmtId="183" fontId="33" fillId="0" borderId="10" xfId="0" applyNumberFormat="1" applyFont="1" applyFill="1" applyBorder="1" applyAlignment="1" applyProtection="1">
      <alignment horizontal="right" vertical="center"/>
      <protection locked="0"/>
    </xf>
    <xf numFmtId="0" fontId="33" fillId="27" borderId="0" xfId="0" applyFont="1" applyFill="1" applyBorder="1" applyAlignment="1" applyProtection="1">
      <protection hidden="1"/>
    </xf>
    <xf numFmtId="0" fontId="33" fillId="27" borderId="25" xfId="0" applyFont="1" applyFill="1" applyBorder="1" applyAlignment="1" applyProtection="1">
      <protection hidden="1"/>
    </xf>
    <xf numFmtId="0" fontId="0" fillId="27" borderId="0" xfId="0" applyFill="1" applyAlignment="1" applyProtection="1"/>
    <xf numFmtId="0" fontId="31" fillId="28" borderId="29" xfId="0" applyFont="1" applyFill="1" applyBorder="1" applyAlignment="1" applyProtection="1">
      <alignment vertical="center"/>
      <protection hidden="1"/>
    </xf>
    <xf numFmtId="0" fontId="32" fillId="28" borderId="19" xfId="0" applyFont="1" applyFill="1" applyBorder="1" applyAlignment="1" applyProtection="1">
      <alignment vertical="center"/>
      <protection hidden="1"/>
    </xf>
    <xf numFmtId="0" fontId="32" fillId="28" borderId="20" xfId="0" applyFont="1" applyFill="1" applyBorder="1" applyAlignment="1" applyProtection="1">
      <alignment vertical="center"/>
      <protection hidden="1"/>
    </xf>
    <xf numFmtId="0" fontId="37" fillId="27" borderId="24" xfId="0" applyFont="1" applyFill="1" applyBorder="1" applyAlignment="1" applyProtection="1">
      <alignment vertical="center"/>
      <protection hidden="1"/>
    </xf>
    <xf numFmtId="31" fontId="33" fillId="0" borderId="10" xfId="0" applyNumberFormat="1" applyFont="1" applyFill="1" applyBorder="1" applyAlignment="1" applyProtection="1">
      <alignment horizontal="right" vertical="center"/>
      <protection locked="0"/>
    </xf>
    <xf numFmtId="0" fontId="33" fillId="27" borderId="0" xfId="0" applyFont="1" applyFill="1" applyBorder="1" applyAlignment="1" applyProtection="1">
      <alignment vertical="center"/>
    </xf>
    <xf numFmtId="0" fontId="37" fillId="27" borderId="30" xfId="0" applyFont="1" applyFill="1" applyBorder="1" applyAlignment="1" applyProtection="1">
      <alignment vertical="center"/>
      <protection hidden="1"/>
    </xf>
    <xf numFmtId="0" fontId="35" fillId="0" borderId="31" xfId="0" applyFont="1" applyFill="1" applyBorder="1" applyAlignment="1" applyProtection="1">
      <alignment horizontal="right" vertical="center"/>
      <protection locked="0"/>
    </xf>
    <xf numFmtId="0" fontId="38" fillId="27" borderId="32" xfId="0" applyFont="1" applyFill="1" applyBorder="1" applyAlignment="1" applyProtection="1">
      <alignment vertical="center"/>
      <protection hidden="1"/>
    </xf>
    <xf numFmtId="0" fontId="0" fillId="27" borderId="33" xfId="0" applyFill="1" applyBorder="1" applyAlignment="1" applyProtection="1">
      <protection hidden="1"/>
    </xf>
    <xf numFmtId="0" fontId="33" fillId="27" borderId="0" xfId="0" applyFont="1" applyFill="1" applyProtection="1">
      <alignment vertical="center"/>
    </xf>
    <xf numFmtId="0" fontId="33" fillId="27" borderId="19" xfId="0" applyFont="1" applyFill="1" applyBorder="1" applyAlignment="1" applyProtection="1">
      <alignment horizontal="left" vertical="top" wrapText="1"/>
      <protection hidden="1"/>
    </xf>
    <xf numFmtId="0" fontId="30" fillId="0" borderId="34" xfId="0" applyFont="1" applyFill="1" applyBorder="1" applyAlignment="1" applyProtection="1">
      <alignment vertical="center"/>
      <protection hidden="1"/>
    </xf>
    <xf numFmtId="0" fontId="30" fillId="0" borderId="35" xfId="0" applyFont="1" applyFill="1" applyBorder="1" applyAlignment="1" applyProtection="1">
      <alignment vertical="center"/>
      <protection hidden="1"/>
    </xf>
    <xf numFmtId="0" fontId="30" fillId="0" borderId="36" xfId="0" applyFont="1" applyFill="1" applyBorder="1" applyAlignment="1" applyProtection="1">
      <alignment vertical="center"/>
      <protection hidden="1"/>
    </xf>
    <xf numFmtId="0" fontId="31" fillId="28" borderId="24" xfId="0" applyFont="1" applyFill="1" applyBorder="1" applyAlignment="1" applyProtection="1">
      <alignment horizontal="center" vertical="center"/>
      <protection hidden="1"/>
    </xf>
    <xf numFmtId="0" fontId="31" fillId="28" borderId="37" xfId="0" applyFont="1" applyFill="1" applyBorder="1" applyAlignment="1" applyProtection="1">
      <alignment horizontal="center" vertical="center"/>
      <protection hidden="1"/>
    </xf>
    <xf numFmtId="0" fontId="31" fillId="28" borderId="25" xfId="0" applyFont="1" applyFill="1" applyBorder="1" applyAlignment="1" applyProtection="1">
      <alignment horizontal="center" vertical="center"/>
      <protection hidden="1"/>
    </xf>
    <xf numFmtId="0" fontId="33" fillId="27" borderId="18" xfId="0" applyFont="1" applyFill="1" applyBorder="1" applyAlignment="1" applyProtection="1">
      <alignment vertical="center"/>
      <protection hidden="1"/>
    </xf>
    <xf numFmtId="179" fontId="6" fillId="0" borderId="10" xfId="35" applyNumberFormat="1" applyFont="1" applyFill="1" applyBorder="1" applyAlignment="1" applyProtection="1">
      <alignment horizontal="right" vertical="center"/>
      <protection locked="0"/>
    </xf>
    <xf numFmtId="0" fontId="33" fillId="27" borderId="24" xfId="0" applyFont="1" applyFill="1" applyBorder="1" applyAlignment="1" applyProtection="1">
      <alignment vertical="center"/>
      <protection hidden="1"/>
    </xf>
    <xf numFmtId="0" fontId="33" fillId="27" borderId="24" xfId="0" applyFont="1" applyFill="1" applyBorder="1" applyProtection="1">
      <alignment vertical="center"/>
      <protection hidden="1"/>
    </xf>
    <xf numFmtId="0" fontId="33" fillId="27" borderId="0" xfId="0" applyFont="1" applyFill="1" applyBorder="1" applyProtection="1">
      <alignment vertical="center"/>
      <protection hidden="1"/>
    </xf>
    <xf numFmtId="0" fontId="6" fillId="0" borderId="28" xfId="0" applyFont="1" applyFill="1" applyBorder="1" applyAlignment="1" applyProtection="1">
      <alignment horizontal="center" vertical="center"/>
      <protection locked="0"/>
    </xf>
    <xf numFmtId="0" fontId="33" fillId="27" borderId="30" xfId="0" applyFont="1" applyFill="1" applyBorder="1" applyProtection="1">
      <alignment vertical="center"/>
      <protection hidden="1"/>
    </xf>
    <xf numFmtId="0" fontId="33" fillId="27" borderId="32" xfId="0" applyFont="1" applyFill="1" applyBorder="1" applyProtection="1">
      <alignment vertical="center"/>
      <protection hidden="1"/>
    </xf>
    <xf numFmtId="0" fontId="33" fillId="27" borderId="33" xfId="0" applyFont="1" applyFill="1" applyBorder="1" applyProtection="1">
      <alignment vertical="center"/>
      <protection hidden="1"/>
    </xf>
    <xf numFmtId="0" fontId="30" fillId="0" borderId="29" xfId="0" applyFont="1" applyBorder="1" applyAlignment="1" applyProtection="1">
      <alignment vertical="center"/>
      <protection hidden="1"/>
    </xf>
    <xf numFmtId="0" fontId="41" fillId="0" borderId="38" xfId="0" applyFont="1" applyFill="1" applyBorder="1" applyAlignment="1" applyProtection="1">
      <alignment horizontal="left" vertical="center" indent="1"/>
      <protection hidden="1"/>
    </xf>
    <xf numFmtId="0" fontId="41" fillId="0" borderId="38" xfId="0" applyFont="1" applyFill="1" applyBorder="1" applyAlignment="1" applyProtection="1">
      <alignment horizontal="right" vertical="center"/>
      <protection hidden="1"/>
    </xf>
    <xf numFmtId="0" fontId="41" fillId="0" borderId="39" xfId="0" applyFont="1" applyFill="1" applyBorder="1" applyAlignment="1" applyProtection="1">
      <alignment horizontal="right" vertical="center"/>
      <protection hidden="1"/>
    </xf>
    <xf numFmtId="0" fontId="31" fillId="28" borderId="40" xfId="0" applyFont="1" applyFill="1" applyBorder="1" applyAlignment="1" applyProtection="1">
      <alignment vertical="center"/>
      <protection hidden="1"/>
    </xf>
    <xf numFmtId="0" fontId="42" fillId="27" borderId="41" xfId="29" applyFont="1"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0" fillId="27" borderId="43" xfId="0" applyFill="1" applyBorder="1" applyAlignment="1" applyProtection="1">
      <alignment horizontal="left" vertical="center" indent="1"/>
      <protection hidden="1"/>
    </xf>
    <xf numFmtId="0" fontId="31" fillId="28" borderId="44" xfId="0" applyFont="1" applyFill="1" applyBorder="1" applyAlignment="1" applyProtection="1">
      <alignment vertical="center"/>
      <protection hidden="1"/>
    </xf>
    <xf numFmtId="0" fontId="42" fillId="27" borderId="45" xfId="29" applyFont="1" applyFill="1" applyBorder="1" applyAlignment="1" applyProtection="1">
      <alignment horizontal="left" vertical="center" indent="1"/>
      <protection hidden="1"/>
    </xf>
    <xf numFmtId="0" fontId="42" fillId="27" borderId="13" xfId="29" applyFont="1" applyFill="1" applyBorder="1" applyAlignment="1" applyProtection="1">
      <alignment horizontal="left" vertical="center" indent="1"/>
      <protection hidden="1"/>
    </xf>
    <xf numFmtId="0" fontId="0" fillId="27" borderId="46" xfId="0" applyFill="1" applyBorder="1" applyAlignment="1" applyProtection="1">
      <alignment horizontal="left" vertical="center" indent="1"/>
      <protection hidden="1"/>
    </xf>
    <xf numFmtId="0" fontId="42" fillId="27" borderId="47" xfId="29" applyFont="1" applyFill="1" applyBorder="1" applyAlignment="1" applyProtection="1">
      <alignment horizontal="left" vertical="center" indent="1"/>
      <protection hidden="1"/>
    </xf>
    <xf numFmtId="0" fontId="42" fillId="27" borderId="48" xfId="29" applyFont="1" applyFill="1" applyBorder="1" applyAlignment="1" applyProtection="1">
      <alignment horizontal="left" vertical="center" indent="1"/>
      <protection hidden="1"/>
    </xf>
    <xf numFmtId="0" fontId="0" fillId="27" borderId="49" xfId="0" applyFill="1" applyBorder="1" applyAlignment="1" applyProtection="1">
      <alignment horizontal="left" vertical="center" indent="1"/>
      <protection hidden="1"/>
    </xf>
    <xf numFmtId="0" fontId="33" fillId="27" borderId="10" xfId="0" applyFont="1" applyFill="1" applyBorder="1" applyAlignment="1" applyProtection="1">
      <alignment horizontal="left" vertical="top"/>
    </xf>
    <xf numFmtId="0" fontId="33" fillId="27" borderId="26" xfId="0" applyFont="1" applyFill="1" applyBorder="1" applyAlignment="1" applyProtection="1">
      <alignment horizontal="left" vertical="top"/>
      <protection hidden="1"/>
    </xf>
    <xf numFmtId="0" fontId="32" fillId="27" borderId="50" xfId="0" applyFont="1" applyFill="1" applyBorder="1" applyAlignment="1" applyProtection="1">
      <alignment horizontal="left" vertical="top"/>
      <protection hidden="1"/>
    </xf>
    <xf numFmtId="0" fontId="33" fillId="27" borderId="27" xfId="0" applyFont="1" applyFill="1" applyBorder="1" applyAlignment="1" applyProtection="1">
      <alignment horizontal="left" vertical="top"/>
    </xf>
    <xf numFmtId="0" fontId="33" fillId="27" borderId="51" xfId="0" applyFont="1" applyFill="1" applyBorder="1" applyAlignment="1" applyProtection="1">
      <alignment horizontal="left" vertical="top"/>
      <protection hidden="1"/>
    </xf>
    <xf numFmtId="0" fontId="33" fillId="27" borderId="52" xfId="0" applyFont="1" applyFill="1" applyBorder="1" applyAlignment="1" applyProtection="1">
      <alignment horizontal="left" vertical="top"/>
      <protection hidden="1"/>
    </xf>
    <xf numFmtId="0" fontId="33" fillId="27" borderId="53" xfId="0" applyFont="1" applyFill="1" applyBorder="1" applyAlignment="1" applyProtection="1">
      <alignment horizontal="left" vertical="top"/>
      <protection hidden="1"/>
    </xf>
    <xf numFmtId="0" fontId="33" fillId="27" borderId="54" xfId="0" applyFont="1" applyFill="1" applyBorder="1" applyAlignment="1" applyProtection="1">
      <alignment horizontal="left" vertical="top"/>
    </xf>
    <xf numFmtId="0" fontId="33" fillId="27" borderId="0" xfId="0" applyFont="1" applyFill="1" applyBorder="1" applyAlignment="1" applyProtection="1">
      <alignment horizontal="left" vertical="top"/>
    </xf>
    <xf numFmtId="0" fontId="33" fillId="27" borderId="11" xfId="0" applyFont="1" applyFill="1" applyBorder="1" applyAlignment="1" applyProtection="1">
      <alignment horizontal="left" vertical="top"/>
      <protection hidden="1"/>
    </xf>
    <xf numFmtId="0" fontId="33" fillId="27" borderId="12"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xf>
    <xf numFmtId="0" fontId="43" fillId="27" borderId="13" xfId="0" applyFont="1" applyFill="1" applyBorder="1" applyAlignment="1" applyProtection="1">
      <alignment horizontal="left" vertical="top"/>
      <protection hidden="1"/>
    </xf>
    <xf numFmtId="0" fontId="33" fillId="27" borderId="55" xfId="0" applyFont="1" applyFill="1" applyBorder="1" applyAlignment="1" applyProtection="1">
      <alignment horizontal="left" vertical="top"/>
      <protection hidden="1"/>
    </xf>
    <xf numFmtId="0" fontId="33" fillId="27" borderId="56" xfId="0" applyFont="1" applyFill="1" applyBorder="1" applyAlignment="1" applyProtection="1">
      <alignment horizontal="left" vertical="top"/>
      <protection hidden="1"/>
    </xf>
    <xf numFmtId="0" fontId="43" fillId="27" borderId="57" xfId="0" applyFont="1" applyFill="1" applyBorder="1" applyAlignment="1" applyProtection="1">
      <alignment horizontal="left" vertical="top"/>
      <protection hidden="1"/>
    </xf>
    <xf numFmtId="0" fontId="33" fillId="27" borderId="58" xfId="0" applyFont="1" applyFill="1" applyBorder="1" applyAlignment="1" applyProtection="1">
      <alignment horizontal="left" vertical="top"/>
    </xf>
    <xf numFmtId="0" fontId="0" fillId="0" borderId="0" xfId="0" applyProtection="1">
      <alignment vertical="center"/>
    </xf>
    <xf numFmtId="0" fontId="44" fillId="30" borderId="59" xfId="0" applyFont="1" applyFill="1" applyBorder="1" applyAlignment="1" applyProtection="1">
      <alignment vertical="center"/>
    </xf>
    <xf numFmtId="0" fontId="32" fillId="30" borderId="60" xfId="45" applyFont="1" applyFill="1" applyBorder="1" applyAlignment="1" applyProtection="1">
      <alignment vertical="center"/>
      <protection hidden="1"/>
    </xf>
    <xf numFmtId="0" fontId="32" fillId="30" borderId="60" xfId="45" applyFont="1" applyFill="1" applyBorder="1" applyAlignment="1" applyProtection="1">
      <alignment horizontal="left" vertical="center"/>
      <protection hidden="1"/>
    </xf>
    <xf numFmtId="0" fontId="32" fillId="30" borderId="61" xfId="45" applyFont="1" applyFill="1" applyBorder="1" applyAlignment="1" applyProtection="1">
      <alignment vertical="center"/>
      <protection hidden="1"/>
    </xf>
    <xf numFmtId="0" fontId="45" fillId="0" borderId="0" xfId="0" applyFont="1" applyProtection="1">
      <alignment vertical="center"/>
    </xf>
    <xf numFmtId="0" fontId="6" fillId="27" borderId="62" xfId="45" applyFont="1" applyFill="1" applyBorder="1" applyAlignment="1" applyProtection="1"/>
    <xf numFmtId="0" fontId="6" fillId="27" borderId="0" xfId="45" applyNumberFormat="1" applyFont="1" applyFill="1" applyBorder="1" applyAlignment="1" applyProtection="1">
      <alignment vertical="center"/>
      <protection hidden="1"/>
    </xf>
    <xf numFmtId="0" fontId="6" fillId="27" borderId="0" xfId="45" applyFont="1" applyFill="1" applyBorder="1" applyAlignment="1" applyProtection="1">
      <alignment horizontal="left" vertical="center"/>
      <protection hidden="1"/>
    </xf>
    <xf numFmtId="0" fontId="6" fillId="27" borderId="0" xfId="45" applyFont="1" applyFill="1" applyBorder="1" applyAlignment="1" applyProtection="1">
      <alignment vertical="center"/>
      <protection hidden="1"/>
    </xf>
    <xf numFmtId="0" fontId="6" fillId="27" borderId="63" xfId="0" applyFont="1" applyFill="1" applyBorder="1" applyProtection="1">
      <alignment vertical="center"/>
    </xf>
    <xf numFmtId="0" fontId="6" fillId="27" borderId="52" xfId="0" applyFont="1" applyFill="1" applyBorder="1" applyProtection="1">
      <alignment vertical="center"/>
    </xf>
    <xf numFmtId="0" fontId="6"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6" fillId="27" borderId="62" xfId="45" applyFont="1" applyFill="1" applyBorder="1" applyAlignment="1" applyProtection="1">
      <alignment vertical="center"/>
    </xf>
    <xf numFmtId="0" fontId="1" fillId="31" borderId="51" xfId="0" applyFont="1" applyFill="1" applyBorder="1" applyAlignment="1">
      <alignment horizontal="center" vertical="center" wrapText="1"/>
    </xf>
    <xf numFmtId="0" fontId="6" fillId="27" borderId="0" xfId="0" applyFont="1" applyFill="1" applyBorder="1">
      <alignment vertical="center"/>
    </xf>
    <xf numFmtId="0" fontId="6" fillId="27" borderId="63" xfId="0" applyFont="1" applyFill="1" applyBorder="1">
      <alignment vertical="center"/>
    </xf>
    <xf numFmtId="0" fontId="6" fillId="27" borderId="64" xfId="0" applyFont="1" applyFill="1" applyBorder="1">
      <alignment vertical="center"/>
    </xf>
    <xf numFmtId="0" fontId="0" fillId="27" borderId="17" xfId="0" applyFill="1" applyBorder="1">
      <alignment vertical="center"/>
    </xf>
    <xf numFmtId="216" fontId="6" fillId="27" borderId="26" xfId="45" applyNumberFormat="1" applyFont="1" applyFill="1" applyBorder="1" applyAlignment="1" applyProtection="1">
      <alignment vertical="center" shrinkToFit="1"/>
      <protection hidden="1"/>
    </xf>
    <xf numFmtId="0" fontId="6" fillId="27" borderId="10" xfId="35" applyNumberFormat="1" applyFont="1" applyFill="1" applyBorder="1" applyAlignment="1" applyProtection="1">
      <alignment horizontal="right" vertical="center" shrinkToFit="1"/>
    </xf>
    <xf numFmtId="0" fontId="6" fillId="27" borderId="10" xfId="45" applyFont="1" applyFill="1" applyBorder="1" applyAlignment="1" applyProtection="1">
      <alignment vertical="center"/>
      <protection hidden="1"/>
    </xf>
    <xf numFmtId="215" fontId="6" fillId="27" borderId="10" xfId="45" applyNumberFormat="1" applyFont="1" applyFill="1" applyBorder="1" applyAlignment="1" applyProtection="1">
      <alignment vertical="center"/>
      <protection hidden="1"/>
    </xf>
    <xf numFmtId="0" fontId="6" fillId="27" borderId="17" xfId="0" applyFont="1" applyFill="1" applyBorder="1">
      <alignment vertical="center"/>
    </xf>
    <xf numFmtId="0" fontId="6" fillId="27" borderId="0" xfId="0" applyFont="1" applyFill="1" applyBorder="1" applyAlignment="1">
      <alignment vertical="center"/>
    </xf>
    <xf numFmtId="0" fontId="1" fillId="31" borderId="10" xfId="0" applyFont="1" applyFill="1" applyBorder="1" applyAlignment="1">
      <alignment horizontal="center" vertical="center" wrapText="1"/>
    </xf>
    <xf numFmtId="0" fontId="6" fillId="27" borderId="26" xfId="45" applyFont="1" applyFill="1" applyBorder="1" applyAlignment="1" applyProtection="1">
      <alignment vertical="center"/>
      <protection locked="0"/>
    </xf>
    <xf numFmtId="0" fontId="6" fillId="27" borderId="10" xfId="45" applyFont="1" applyFill="1" applyBorder="1" applyAlignment="1" applyProtection="1">
      <alignment vertical="center"/>
      <protection locked="0"/>
    </xf>
    <xf numFmtId="0" fontId="6" fillId="27" borderId="62" xfId="45" applyFont="1" applyFill="1" applyBorder="1" applyAlignment="1" applyProtection="1">
      <alignment horizontal="right" vertical="top"/>
    </xf>
    <xf numFmtId="0" fontId="0" fillId="27" borderId="0" xfId="0" applyFill="1" applyBorder="1">
      <alignment vertical="center"/>
    </xf>
    <xf numFmtId="0" fontId="1" fillId="27" borderId="10" xfId="0" applyFont="1" applyFill="1" applyBorder="1" applyAlignment="1">
      <alignment horizontal="center" vertical="center" wrapText="1"/>
    </xf>
    <xf numFmtId="0" fontId="6" fillId="27" borderId="10" xfId="45" applyFont="1" applyFill="1" applyBorder="1" applyAlignment="1" applyProtection="1">
      <alignment vertical="center"/>
    </xf>
    <xf numFmtId="0" fontId="6" fillId="27" borderId="10" xfId="45" applyFont="1" applyFill="1" applyBorder="1" applyAlignment="1" applyProtection="1">
      <alignment horizontal="center" vertical="center"/>
      <protection hidden="1"/>
    </xf>
    <xf numFmtId="0" fontId="6" fillId="27" borderId="56" xfId="0" applyFont="1" applyFill="1" applyBorder="1">
      <alignment vertical="center"/>
    </xf>
    <xf numFmtId="0" fontId="6" fillId="27" borderId="57" xfId="0" applyFont="1" applyFill="1" applyBorder="1">
      <alignment vertical="center"/>
    </xf>
    <xf numFmtId="0" fontId="6" fillId="27" borderId="58" xfId="0" applyFont="1" applyFill="1" applyBorder="1">
      <alignment vertical="center"/>
    </xf>
    <xf numFmtId="0" fontId="6" fillId="0" borderId="0" xfId="0" applyFont="1">
      <alignment vertical="center"/>
    </xf>
    <xf numFmtId="0" fontId="0" fillId="0" borderId="0" xfId="0" applyAlignment="1">
      <alignment horizontal="right" vertical="center"/>
    </xf>
    <xf numFmtId="0" fontId="46" fillId="0" borderId="0" xfId="0" applyFont="1" applyFill="1" applyProtection="1">
      <alignment vertical="center"/>
      <protection hidden="1"/>
    </xf>
    <xf numFmtId="0" fontId="46"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left" vertical="center"/>
      <protection hidden="1"/>
    </xf>
    <xf numFmtId="0" fontId="46" fillId="0" borderId="0" xfId="0" applyFont="1" applyFill="1" applyBorder="1" applyAlignment="1" applyProtection="1">
      <alignment horizontal="right" vertical="center"/>
      <protection hidden="1"/>
    </xf>
    <xf numFmtId="0" fontId="46" fillId="0" borderId="0" xfId="0" applyFont="1" applyFill="1" applyBorder="1" applyAlignment="1" applyProtection="1">
      <alignment vertical="center"/>
      <protection hidden="1"/>
    </xf>
    <xf numFmtId="0" fontId="48" fillId="0" borderId="0" xfId="0" applyFont="1" applyFill="1" applyBorder="1" applyAlignment="1" applyProtection="1">
      <alignment vertical="center"/>
      <protection hidden="1"/>
    </xf>
    <xf numFmtId="0" fontId="48" fillId="0" borderId="0" xfId="0" applyFont="1" applyFill="1" applyBorder="1" applyAlignment="1" applyProtection="1">
      <alignment horizontal="center" vertical="center"/>
      <protection hidden="1"/>
    </xf>
    <xf numFmtId="14" fontId="49" fillId="0" borderId="0" xfId="0" applyNumberFormat="1" applyFont="1" applyFill="1" applyBorder="1" applyAlignment="1" applyProtection="1">
      <alignment horizontal="center" vertical="center"/>
      <protection hidden="1"/>
    </xf>
    <xf numFmtId="0" fontId="50" fillId="0" borderId="0" xfId="0" applyFont="1" applyFill="1" applyBorder="1" applyProtection="1">
      <alignment vertical="center"/>
      <protection hidden="1"/>
    </xf>
    <xf numFmtId="178" fontId="50" fillId="0" borderId="0" xfId="0" applyNumberFormat="1" applyFont="1" applyFill="1" applyBorder="1" applyProtection="1">
      <alignment vertical="center"/>
      <protection hidden="1"/>
    </xf>
    <xf numFmtId="0" fontId="49" fillId="0" borderId="0" xfId="0" applyFont="1" applyFill="1" applyProtection="1">
      <alignment vertical="center"/>
      <protection hidden="1"/>
    </xf>
    <xf numFmtId="0" fontId="26" fillId="0" borderId="0" xfId="0" applyFont="1" applyFill="1" applyBorder="1" applyAlignment="1" applyProtection="1">
      <protection hidden="1"/>
    </xf>
    <xf numFmtId="0" fontId="51" fillId="0" borderId="0" xfId="0" applyFont="1" applyFill="1" applyBorder="1" applyAlignment="1" applyProtection="1">
      <alignment horizontal="left" vertical="center"/>
      <protection hidden="1"/>
    </xf>
    <xf numFmtId="0" fontId="52" fillId="0" borderId="0" xfId="0" applyFont="1" applyFill="1" applyBorder="1" applyAlignment="1" applyProtection="1">
      <alignment horizontal="right" vertical="center"/>
      <protection hidden="1"/>
    </xf>
    <xf numFmtId="0" fontId="52" fillId="0" borderId="0" xfId="0" applyFont="1" applyFill="1" applyBorder="1" applyAlignment="1" applyProtection="1">
      <alignmen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left" vertical="center"/>
      <protection hidden="1"/>
    </xf>
    <xf numFmtId="0" fontId="56" fillId="0" borderId="0" xfId="0" applyNumberFormat="1" applyFont="1" applyFill="1" applyBorder="1" applyProtection="1">
      <alignment vertical="center"/>
      <protection hidden="1"/>
    </xf>
    <xf numFmtId="0" fontId="56" fillId="0" borderId="0" xfId="0" applyFont="1" applyFill="1" applyBorder="1" applyProtection="1">
      <alignment vertical="center"/>
      <protection hidden="1"/>
    </xf>
    <xf numFmtId="0" fontId="29" fillId="0" borderId="0" xfId="0" applyFont="1" applyFill="1" applyBorder="1" applyAlignment="1" applyProtection="1">
      <alignment horizontal="left" vertical="center"/>
      <protection hidden="1"/>
    </xf>
    <xf numFmtId="0" fontId="55" fillId="0" borderId="0" xfId="0" applyFont="1" applyFill="1" applyBorder="1" applyAlignment="1" applyProtection="1">
      <alignment horizontal="right" vertical="center"/>
      <protection hidden="1"/>
    </xf>
    <xf numFmtId="0" fontId="57" fillId="0" borderId="0" xfId="0" applyFont="1" applyFill="1" applyBorder="1" applyAlignment="1" applyProtection="1">
      <alignment horizontal="left" vertical="top"/>
      <protection hidden="1"/>
    </xf>
    <xf numFmtId="0" fontId="52" fillId="0" borderId="0" xfId="0" applyFont="1" applyFill="1" applyBorder="1" applyAlignment="1" applyProtection="1">
      <alignment horizontal="left" vertical="center"/>
      <protection hidden="1"/>
    </xf>
    <xf numFmtId="0" fontId="54" fillId="0" borderId="0" xfId="0" applyFont="1" applyBorder="1" applyAlignment="1" applyProtection="1">
      <alignment horizontal="center" vertical="center"/>
      <protection hidden="1"/>
    </xf>
    <xf numFmtId="0" fontId="28" fillId="0" borderId="0" xfId="0" applyFont="1" applyFill="1" applyBorder="1" applyAlignment="1" applyProtection="1">
      <alignment horizontal="right" vertical="top"/>
      <protection hidden="1"/>
    </xf>
    <xf numFmtId="0" fontId="58" fillId="0" borderId="0" xfId="0" applyFont="1" applyFill="1" applyBorder="1" applyAlignment="1" applyProtection="1">
      <alignment vertical="center"/>
      <protection hidden="1"/>
    </xf>
    <xf numFmtId="0" fontId="59" fillId="0" borderId="0" xfId="0" applyFont="1" applyFill="1" applyBorder="1" applyAlignment="1" applyProtection="1">
      <alignment horizontal="left" vertical="center"/>
      <protection hidden="1"/>
    </xf>
    <xf numFmtId="0" fontId="59" fillId="0" borderId="0" xfId="0" applyFont="1" applyFill="1" applyBorder="1" applyAlignment="1" applyProtection="1">
      <alignment horizontal="right" vertical="center"/>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vertical="center"/>
      <protection hidden="1"/>
    </xf>
    <xf numFmtId="0" fontId="60" fillId="0" borderId="0" xfId="0" applyFont="1" applyFill="1" applyBorder="1" applyAlignment="1" applyProtection="1">
      <alignment horizontal="center"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vertical="center"/>
      <protection hidden="1"/>
    </xf>
    <xf numFmtId="0" fontId="64" fillId="30" borderId="68" xfId="0" applyFont="1" applyFill="1" applyBorder="1" applyAlignment="1" applyProtection="1">
      <alignment horizontal="left" vertical="center"/>
      <protection hidden="1"/>
    </xf>
    <xf numFmtId="0" fontId="64" fillId="30" borderId="69" xfId="0" applyFont="1" applyFill="1" applyBorder="1" applyAlignment="1" applyProtection="1">
      <alignment horizontal="left" vertical="center"/>
      <protection hidden="1"/>
    </xf>
    <xf numFmtId="0" fontId="65" fillId="30" borderId="69" xfId="0" applyFont="1" applyFill="1" applyBorder="1" applyAlignment="1" applyProtection="1">
      <alignment horizontal="right" vertical="top"/>
      <protection hidden="1"/>
    </xf>
    <xf numFmtId="0" fontId="56" fillId="30" borderId="70" xfId="0" applyFont="1" applyFill="1" applyBorder="1" applyProtection="1">
      <alignment vertical="center"/>
      <protection hidden="1"/>
    </xf>
    <xf numFmtId="0" fontId="56" fillId="30" borderId="60" xfId="0" applyFont="1" applyFill="1" applyBorder="1" applyProtection="1">
      <alignment vertical="center"/>
      <protection hidden="1"/>
    </xf>
    <xf numFmtId="56" fontId="64" fillId="30" borderId="70" xfId="0" applyNumberFormat="1" applyFont="1" applyFill="1" applyBorder="1" applyProtection="1">
      <alignment vertical="center"/>
      <protection hidden="1"/>
    </xf>
    <xf numFmtId="0" fontId="64" fillId="30" borderId="71" xfId="0" applyFont="1" applyFill="1" applyBorder="1" applyAlignment="1" applyProtection="1">
      <alignment horizontal="left" vertical="center"/>
      <protection hidden="1"/>
    </xf>
    <xf numFmtId="0" fontId="66" fillId="0" borderId="0" xfId="0" applyFont="1" applyFill="1" applyBorder="1" applyProtection="1">
      <alignment vertical="center"/>
      <protection hidden="1"/>
    </xf>
    <xf numFmtId="49" fontId="33" fillId="0" borderId="72" xfId="0" applyNumberFormat="1" applyFont="1" applyFill="1" applyBorder="1" applyAlignment="1" applyProtection="1">
      <alignment horizontal="left" vertical="center"/>
      <protection hidden="1"/>
    </xf>
    <xf numFmtId="3" fontId="27" fillId="0" borderId="73" xfId="0" applyNumberFormat="1" applyFont="1" applyFill="1" applyBorder="1" applyAlignment="1" applyProtection="1">
      <alignment horizontal="left" vertical="center"/>
      <protection hidden="1"/>
    </xf>
    <xf numFmtId="0" fontId="33" fillId="0" borderId="62" xfId="0" applyFont="1" applyFill="1" applyBorder="1" applyAlignment="1" applyProtection="1">
      <alignment horizontal="left" vertical="center"/>
      <protection hidden="1"/>
    </xf>
    <xf numFmtId="0" fontId="34" fillId="0" borderId="0" xfId="0" applyFont="1" applyFill="1" applyBorder="1" applyAlignment="1" applyProtection="1">
      <alignment horizontal="left" vertical="center"/>
      <protection hidden="1"/>
    </xf>
    <xf numFmtId="0" fontId="67" fillId="0" borderId="0" xfId="0" applyFont="1" applyFill="1" applyBorder="1" applyAlignment="1" applyProtection="1">
      <alignment vertical="center"/>
      <protection hidden="1"/>
    </xf>
    <xf numFmtId="0" fontId="67" fillId="0" borderId="63" xfId="0" applyFont="1" applyFill="1" applyBorder="1" applyAlignment="1" applyProtection="1">
      <alignment vertical="center"/>
      <protection hidden="1"/>
    </xf>
    <xf numFmtId="0" fontId="56" fillId="0" borderId="10" xfId="0" applyFont="1" applyFill="1" applyBorder="1" applyProtection="1">
      <alignment vertical="center"/>
      <protection hidden="1"/>
    </xf>
    <xf numFmtId="0" fontId="6" fillId="0" borderId="10" xfId="0" applyNumberFormat="1" applyFont="1" applyFill="1" applyBorder="1" applyProtection="1">
      <alignment vertical="center"/>
      <protection hidden="1"/>
    </xf>
    <xf numFmtId="0" fontId="68" fillId="0" borderId="10" xfId="0" applyFont="1" applyFill="1" applyBorder="1" applyProtection="1">
      <alignment vertical="center"/>
      <protection hidden="1"/>
    </xf>
    <xf numFmtId="0" fontId="49" fillId="0" borderId="10" xfId="0" applyNumberFormat="1" applyFont="1" applyFill="1" applyBorder="1" applyProtection="1">
      <alignment vertical="center"/>
      <protection hidden="1"/>
    </xf>
    <xf numFmtId="0" fontId="56" fillId="0" borderId="10" xfId="0" applyNumberFormat="1" applyFont="1" applyFill="1" applyBorder="1" applyProtection="1">
      <alignment vertical="center"/>
      <protection hidden="1"/>
    </xf>
    <xf numFmtId="0" fontId="33" fillId="0" borderId="62" xfId="0" applyFont="1" applyFill="1" applyBorder="1" applyAlignment="1" applyProtection="1">
      <alignment vertical="center"/>
      <protection hidden="1"/>
    </xf>
    <xf numFmtId="3" fontId="27" fillId="0" borderId="0" xfId="0" applyNumberFormat="1" applyFont="1" applyFill="1" applyBorder="1" applyAlignment="1" applyProtection="1">
      <alignment horizontal="left" vertical="center"/>
      <protection hidden="1"/>
    </xf>
    <xf numFmtId="3" fontId="33" fillId="0" borderId="0" xfId="0" applyNumberFormat="1" applyFont="1" applyFill="1" applyBorder="1" applyAlignment="1" applyProtection="1">
      <alignment horizontal="left" vertical="center"/>
      <protection hidden="1"/>
    </xf>
    <xf numFmtId="0" fontId="33" fillId="0" borderId="77" xfId="0" applyFont="1" applyFill="1" applyBorder="1" applyAlignment="1" applyProtection="1">
      <alignment horizontal="left" vertical="center"/>
      <protection hidden="1"/>
    </xf>
    <xf numFmtId="0" fontId="34" fillId="0" borderId="57" xfId="0" applyFont="1" applyFill="1" applyBorder="1" applyAlignment="1" applyProtection="1">
      <alignment horizontal="left" vertical="center"/>
      <protection hidden="1"/>
    </xf>
    <xf numFmtId="0" fontId="33" fillId="0" borderId="78" xfId="0" applyFont="1" applyFill="1" applyBorder="1" applyAlignment="1" applyProtection="1">
      <alignment horizontal="left" vertical="center"/>
      <protection hidden="1"/>
    </xf>
    <xf numFmtId="0" fontId="56" fillId="0" borderId="62" xfId="0" applyFont="1" applyFill="1" applyBorder="1" applyProtection="1">
      <alignment vertical="center"/>
      <protection hidden="1"/>
    </xf>
    <xf numFmtId="0" fontId="56" fillId="0" borderId="63" xfId="0" applyFont="1" applyFill="1" applyBorder="1" applyProtection="1">
      <alignment vertical="center"/>
      <protection hidden="1"/>
    </xf>
    <xf numFmtId="0" fontId="49" fillId="0" borderId="10" xfId="0" applyFont="1" applyFill="1" applyBorder="1" applyProtection="1">
      <alignment vertical="center"/>
      <protection hidden="1"/>
    </xf>
    <xf numFmtId="0" fontId="49" fillId="0" borderId="10" xfId="35" applyNumberFormat="1" applyFont="1" applyFill="1" applyBorder="1" applyAlignment="1" applyProtection="1">
      <protection hidden="1"/>
    </xf>
    <xf numFmtId="3" fontId="34" fillId="0" borderId="0" xfId="0" applyNumberFormat="1" applyFont="1" applyFill="1" applyBorder="1" applyAlignment="1" applyProtection="1">
      <alignment horizontal="left" vertical="center"/>
      <protection hidden="1"/>
    </xf>
    <xf numFmtId="0" fontId="49" fillId="0" borderId="10" xfId="0" applyNumberFormat="1" applyFont="1" applyFill="1" applyBorder="1" applyAlignment="1" applyProtection="1">
      <alignment horizontal="left" vertical="center" wrapText="1"/>
      <protection hidden="1"/>
    </xf>
    <xf numFmtId="0" fontId="33" fillId="0" borderId="77" xfId="0" applyFont="1" applyFill="1" applyBorder="1" applyAlignment="1" applyProtection="1">
      <alignment vertical="center"/>
      <protection hidden="1"/>
    </xf>
    <xf numFmtId="3" fontId="27" fillId="0" borderId="57" xfId="0" applyNumberFormat="1" applyFont="1" applyFill="1" applyBorder="1" applyAlignment="1" applyProtection="1">
      <alignment horizontal="left" vertical="center"/>
      <protection hidden="1"/>
    </xf>
    <xf numFmtId="0" fontId="6" fillId="0" borderId="10" xfId="0" applyNumberFormat="1" applyFont="1" applyFill="1" applyBorder="1" applyAlignment="1" applyProtection="1">
      <alignment vertical="center" wrapText="1"/>
      <protection hidden="1"/>
    </xf>
    <xf numFmtId="49" fontId="33" fillId="0" borderId="80" xfId="0" applyNumberFormat="1" applyFont="1" applyFill="1" applyBorder="1" applyAlignment="1" applyProtection="1">
      <alignment horizontal="left" vertical="center"/>
      <protection hidden="1"/>
    </xf>
    <xf numFmtId="3" fontId="27" fillId="0" borderId="50" xfId="0" applyNumberFormat="1" applyFont="1" applyFill="1" applyBorder="1" applyAlignment="1" applyProtection="1">
      <alignment horizontal="left" vertical="center"/>
      <protection hidden="1"/>
    </xf>
    <xf numFmtId="0" fontId="56" fillId="0" borderId="82" xfId="0" applyFont="1" applyFill="1" applyBorder="1" applyProtection="1">
      <alignment vertical="center"/>
      <protection hidden="1"/>
    </xf>
    <xf numFmtId="0" fontId="34" fillId="0" borderId="57" xfId="0" applyFont="1" applyFill="1" applyBorder="1" applyProtection="1">
      <alignment vertical="center"/>
      <protection hidden="1"/>
    </xf>
    <xf numFmtId="0" fontId="34" fillId="0" borderId="79" xfId="0" applyFont="1" applyFill="1" applyBorder="1" applyProtection="1">
      <alignment vertical="center"/>
      <protection hidden="1"/>
    </xf>
    <xf numFmtId="0" fontId="33" fillId="0" borderId="80" xfId="0" applyFont="1" applyFill="1" applyBorder="1" applyAlignment="1" applyProtection="1">
      <alignment vertical="center"/>
      <protection hidden="1"/>
    </xf>
    <xf numFmtId="2" fontId="34" fillId="0" borderId="50" xfId="0" applyNumberFormat="1" applyFont="1" applyFill="1" applyBorder="1" applyAlignment="1" applyProtection="1">
      <alignment horizontal="left" vertical="center"/>
      <protection hidden="1"/>
    </xf>
    <xf numFmtId="184" fontId="33" fillId="0" borderId="50" xfId="0" applyNumberFormat="1" applyFont="1" applyFill="1" applyBorder="1" applyAlignment="1" applyProtection="1">
      <alignment horizontal="left" vertical="center"/>
      <protection hidden="1"/>
    </xf>
    <xf numFmtId="0" fontId="70" fillId="0" borderId="0" xfId="0" applyFont="1" applyFill="1" applyBorder="1" applyProtection="1">
      <alignment vertical="center"/>
      <protection hidden="1"/>
    </xf>
    <xf numFmtId="188" fontId="72" fillId="0" borderId="10" xfId="35" applyNumberFormat="1" applyFont="1" applyFill="1" applyBorder="1" applyAlignment="1" applyProtection="1">
      <alignment horizontal="center" vertical="center"/>
      <protection hidden="1"/>
    </xf>
    <xf numFmtId="37" fontId="34" fillId="0" borderId="0" xfId="0" applyNumberFormat="1" applyFont="1" applyFill="1" applyBorder="1" applyAlignment="1" applyProtection="1">
      <alignment horizontal="left" vertical="center"/>
      <protection hidden="1"/>
    </xf>
    <xf numFmtId="184" fontId="33" fillId="0" borderId="0" xfId="0" applyNumberFormat="1" applyFont="1" applyFill="1" applyBorder="1" applyAlignment="1" applyProtection="1">
      <alignment horizontal="left" vertical="center"/>
      <protection hidden="1"/>
    </xf>
    <xf numFmtId="188" fontId="72" fillId="0" borderId="0" xfId="35" applyNumberFormat="1" applyFont="1" applyFill="1" applyBorder="1" applyAlignment="1" applyProtection="1">
      <alignment horizontal="center" vertical="center"/>
      <protection hidden="1"/>
    </xf>
    <xf numFmtId="188" fontId="0" fillId="0" borderId="10" xfId="0" applyNumberFormat="1" applyFill="1" applyBorder="1" applyProtection="1">
      <alignment vertical="center"/>
      <protection hidden="1"/>
    </xf>
    <xf numFmtId="0" fontId="49" fillId="0" borderId="0" xfId="0" applyNumberFormat="1" applyFont="1" applyFill="1" applyBorder="1" applyProtection="1">
      <alignment vertical="center"/>
      <protection hidden="1"/>
    </xf>
    <xf numFmtId="0" fontId="33" fillId="0" borderId="0" xfId="0" applyFont="1" applyFill="1" applyBorder="1" applyAlignment="1" applyProtection="1">
      <alignment horizontal="left" vertical="center"/>
      <protection hidden="1"/>
    </xf>
    <xf numFmtId="188" fontId="49" fillId="0" borderId="10" xfId="0" applyNumberFormat="1" applyFont="1" applyFill="1" applyBorder="1" applyProtection="1">
      <alignment vertical="center"/>
      <protection hidden="1"/>
    </xf>
    <xf numFmtId="0" fontId="6" fillId="0" borderId="0" xfId="0" applyNumberFormat="1" applyFont="1" applyFill="1" applyBorder="1" applyProtection="1">
      <alignment vertical="center"/>
      <protection hidden="1"/>
    </xf>
    <xf numFmtId="3" fontId="73" fillId="0" borderId="62" xfId="0" applyNumberFormat="1" applyFont="1" applyFill="1" applyBorder="1" applyAlignment="1" applyProtection="1">
      <alignment horizontal="left" vertical="center"/>
      <protection hidden="1"/>
    </xf>
    <xf numFmtId="3" fontId="73" fillId="0" borderId="64" xfId="0" applyNumberFormat="1" applyFont="1" applyFill="1" applyBorder="1" applyAlignment="1" applyProtection="1">
      <alignment horizontal="left" vertical="center"/>
      <protection hidden="1"/>
    </xf>
    <xf numFmtId="3" fontId="73" fillId="0" borderId="17" xfId="0" applyNumberFormat="1" applyFont="1" applyFill="1" applyBorder="1" applyAlignment="1" applyProtection="1">
      <alignment horizontal="left" vertical="center"/>
      <protection hidden="1"/>
    </xf>
    <xf numFmtId="3" fontId="74" fillId="0" borderId="0" xfId="0" applyNumberFormat="1" applyFont="1" applyFill="1" applyBorder="1" applyAlignment="1" applyProtection="1">
      <alignment horizontal="left" vertical="center"/>
      <protection hidden="1"/>
    </xf>
    <xf numFmtId="0" fontId="49" fillId="0" borderId="0" xfId="0" applyFont="1" applyFill="1" applyBorder="1" applyProtection="1">
      <alignment vertical="center"/>
      <protection hidden="1"/>
    </xf>
    <xf numFmtId="0" fontId="75" fillId="0" borderId="64" xfId="0" applyFont="1" applyFill="1" applyBorder="1" applyProtection="1">
      <alignment vertical="center"/>
      <protection hidden="1"/>
    </xf>
    <xf numFmtId="0" fontId="49" fillId="0" borderId="63" xfId="0" applyFont="1" applyFill="1" applyBorder="1" applyProtection="1">
      <alignment vertical="center"/>
      <protection hidden="1"/>
    </xf>
    <xf numFmtId="0" fontId="33" fillId="0" borderId="0" xfId="0" applyNumberFormat="1" applyFont="1" applyFill="1" applyBorder="1" applyAlignment="1" applyProtection="1">
      <alignment horizontal="left" vertical="center"/>
      <protection hidden="1"/>
    </xf>
    <xf numFmtId="0" fontId="34" fillId="0" borderId="0" xfId="0" applyNumberFormat="1" applyFont="1" applyFill="1" applyBorder="1" applyAlignment="1" applyProtection="1">
      <alignment horizontal="left" vertical="center"/>
      <protection hidden="1"/>
    </xf>
    <xf numFmtId="0" fontId="67" fillId="0" borderId="0" xfId="0" applyNumberFormat="1" applyFont="1" applyFill="1" applyBorder="1" applyAlignment="1" applyProtection="1">
      <alignment vertical="center"/>
      <protection hidden="1"/>
    </xf>
    <xf numFmtId="3" fontId="71" fillId="0" borderId="62" xfId="0" applyNumberFormat="1" applyFont="1" applyFill="1" applyBorder="1" applyAlignment="1" applyProtection="1">
      <alignment horizontal="left" vertical="center"/>
      <protection hidden="1"/>
    </xf>
    <xf numFmtId="0" fontId="56" fillId="0" borderId="66" xfId="0" applyFont="1" applyFill="1" applyBorder="1" applyProtection="1">
      <alignment vertical="center"/>
      <protection hidden="1"/>
    </xf>
    <xf numFmtId="0" fontId="49" fillId="0" borderId="66" xfId="0" applyFont="1" applyFill="1" applyBorder="1" applyProtection="1">
      <alignment vertical="center"/>
      <protection hidden="1"/>
    </xf>
    <xf numFmtId="0" fontId="75" fillId="0" borderId="83" xfId="0" applyFont="1" applyFill="1" applyBorder="1" applyProtection="1">
      <alignment vertical="center"/>
      <protection hidden="1"/>
    </xf>
    <xf numFmtId="3" fontId="73" fillId="0" borderId="84" xfId="0" applyNumberFormat="1" applyFont="1" applyFill="1" applyBorder="1" applyAlignment="1" applyProtection="1">
      <alignment horizontal="left" vertical="center"/>
      <protection hidden="1"/>
    </xf>
    <xf numFmtId="0" fontId="49" fillId="0" borderId="67" xfId="0" applyFont="1" applyFill="1" applyBorder="1" applyProtection="1">
      <alignment vertical="center"/>
      <protection hidden="1"/>
    </xf>
    <xf numFmtId="0" fontId="76" fillId="0" borderId="60" xfId="0" applyFont="1" applyFill="1" applyBorder="1" applyProtection="1">
      <alignment vertical="center"/>
      <protection hidden="1"/>
    </xf>
    <xf numFmtId="0" fontId="77" fillId="0" borderId="60" xfId="0" applyFont="1" applyFill="1" applyBorder="1" applyAlignment="1" applyProtection="1">
      <alignment vertical="center"/>
      <protection hidden="1"/>
    </xf>
    <xf numFmtId="0" fontId="56" fillId="0" borderId="60" xfId="0" applyFont="1" applyFill="1" applyBorder="1" applyProtection="1">
      <alignment vertical="center"/>
      <protection hidden="1"/>
    </xf>
    <xf numFmtId="3" fontId="78" fillId="0" borderId="60" xfId="0" applyNumberFormat="1" applyFont="1" applyFill="1" applyBorder="1" applyAlignment="1" applyProtection="1">
      <alignment horizontal="left" vertical="center"/>
      <protection hidden="1"/>
    </xf>
    <xf numFmtId="0" fontId="79" fillId="0" borderId="60" xfId="0" applyFont="1" applyFill="1" applyBorder="1" applyAlignment="1" applyProtection="1">
      <alignment vertical="center"/>
      <protection hidden="1"/>
    </xf>
    <xf numFmtId="37" fontId="33" fillId="0" borderId="60" xfId="0" applyNumberFormat="1" applyFont="1" applyFill="1" applyBorder="1" applyAlignment="1" applyProtection="1">
      <alignment horizontal="left" vertical="center"/>
      <protection hidden="1"/>
    </xf>
    <xf numFmtId="0" fontId="64" fillId="30" borderId="59" xfId="0" applyFont="1" applyFill="1" applyBorder="1" applyAlignment="1" applyProtection="1">
      <alignment vertical="center"/>
      <protection hidden="1"/>
    </xf>
    <xf numFmtId="0" fontId="80" fillId="30" borderId="60" xfId="0" applyFont="1" applyFill="1" applyBorder="1" applyAlignment="1" applyProtection="1">
      <alignment horizontal="right" vertical="center"/>
      <protection hidden="1"/>
    </xf>
    <xf numFmtId="0" fontId="80" fillId="30" borderId="60" xfId="0" applyFont="1" applyFill="1" applyBorder="1" applyAlignment="1" applyProtection="1">
      <alignment vertical="center"/>
      <protection hidden="1"/>
    </xf>
    <xf numFmtId="0" fontId="81" fillId="30" borderId="60" xfId="0" applyFont="1" applyFill="1" applyBorder="1" applyAlignment="1" applyProtection="1">
      <alignment vertical="center"/>
      <protection hidden="1"/>
    </xf>
    <xf numFmtId="56" fontId="64" fillId="30" borderId="85" xfId="0" applyNumberFormat="1" applyFont="1" applyFill="1" applyBorder="1" applyProtection="1">
      <alignment vertical="center"/>
      <protection hidden="1"/>
    </xf>
    <xf numFmtId="0" fontId="63" fillId="30" borderId="69" xfId="0" applyFont="1" applyFill="1" applyBorder="1" applyAlignment="1" applyProtection="1">
      <alignment horizontal="left" vertical="center"/>
      <protection hidden="1"/>
    </xf>
    <xf numFmtId="0" fontId="83" fillId="30" borderId="69" xfId="0" applyFont="1" applyFill="1" applyBorder="1" applyAlignment="1" applyProtection="1">
      <alignment horizontal="right" vertical="center"/>
      <protection hidden="1"/>
    </xf>
    <xf numFmtId="0" fontId="64" fillId="30" borderId="85" xfId="0" applyFont="1" applyFill="1" applyBorder="1" applyProtection="1">
      <alignment vertical="center"/>
      <protection hidden="1"/>
    </xf>
    <xf numFmtId="0" fontId="29" fillId="0" borderId="59" xfId="0" applyFont="1" applyFill="1" applyBorder="1" applyAlignment="1" applyProtection="1">
      <alignment vertical="center"/>
      <protection hidden="1"/>
    </xf>
    <xf numFmtId="0" fontId="29" fillId="0" borderId="60" xfId="0" applyFont="1" applyFill="1" applyBorder="1" applyAlignment="1" applyProtection="1">
      <alignment vertical="center"/>
      <protection hidden="1"/>
    </xf>
    <xf numFmtId="0" fontId="84" fillId="0" borderId="61" xfId="0" applyFont="1" applyFill="1" applyBorder="1" applyAlignment="1" applyProtection="1">
      <alignment horizontal="right" vertical="center"/>
      <protection hidden="1"/>
    </xf>
    <xf numFmtId="0" fontId="56" fillId="0" borderId="59" xfId="0" applyFont="1" applyFill="1" applyBorder="1" applyAlignment="1" applyProtection="1">
      <alignment vertical="center"/>
      <protection hidden="1"/>
    </xf>
    <xf numFmtId="0" fontId="56" fillId="0" borderId="0" xfId="0" applyFont="1" applyFill="1" applyBorder="1" applyAlignment="1" applyProtection="1">
      <alignment vertical="center"/>
      <protection hidden="1"/>
    </xf>
    <xf numFmtId="0" fontId="56" fillId="0" borderId="63" xfId="0" applyFont="1" applyFill="1" applyBorder="1" applyAlignment="1" applyProtection="1">
      <alignment vertical="center"/>
      <protection hidden="1"/>
    </xf>
    <xf numFmtId="38" fontId="49" fillId="0" borderId="10" xfId="35" applyFont="1" applyFill="1" applyBorder="1" applyAlignment="1" applyProtection="1">
      <protection hidden="1"/>
    </xf>
    <xf numFmtId="0" fontId="48" fillId="0" borderId="62" xfId="0" applyFont="1" applyFill="1" applyBorder="1" applyProtection="1">
      <alignment vertical="center"/>
      <protection hidden="1"/>
    </xf>
    <xf numFmtId="188" fontId="72" fillId="0" borderId="0" xfId="0" applyNumberFormat="1" applyFont="1" applyFill="1" applyBorder="1" applyAlignment="1" applyProtection="1">
      <alignment horizontal="center" vertical="center"/>
      <protection hidden="1"/>
    </xf>
    <xf numFmtId="0" fontId="29" fillId="0" borderId="62" xfId="0" applyFont="1" applyFill="1" applyBorder="1" applyAlignment="1" applyProtection="1">
      <alignment vertical="center"/>
      <protection hidden="1"/>
    </xf>
    <xf numFmtId="0" fontId="29" fillId="0" borderId="0" xfId="0" applyFont="1" applyFill="1" applyBorder="1" applyAlignment="1" applyProtection="1">
      <alignment vertical="center"/>
      <protection hidden="1"/>
    </xf>
    <xf numFmtId="0" fontId="36" fillId="0" borderId="0" xfId="0" applyFont="1" applyFill="1" applyBorder="1" applyAlignment="1" applyProtection="1">
      <alignment horizontal="center" vertical="center"/>
      <protection hidden="1"/>
    </xf>
    <xf numFmtId="0" fontId="36" fillId="0" borderId="63" xfId="0" applyFont="1" applyFill="1" applyBorder="1" applyAlignment="1" applyProtection="1">
      <alignment horizontal="center" vertical="center"/>
      <protection hidden="1"/>
    </xf>
    <xf numFmtId="0" fontId="48" fillId="0" borderId="62" xfId="0" applyFont="1" applyFill="1" applyBorder="1" applyAlignment="1" applyProtection="1">
      <alignment horizontal="right" vertical="center"/>
      <protection hidden="1"/>
    </xf>
    <xf numFmtId="38" fontId="6" fillId="0" borderId="10" xfId="0" applyNumberFormat="1" applyFont="1" applyFill="1" applyBorder="1" applyProtection="1">
      <alignment vertical="center"/>
      <protection hidden="1"/>
    </xf>
    <xf numFmtId="0" fontId="56" fillId="0" borderId="86" xfId="0" applyFont="1" applyFill="1" applyBorder="1" applyProtection="1">
      <alignment vertical="center"/>
      <protection hidden="1"/>
    </xf>
    <xf numFmtId="0" fontId="56" fillId="0" borderId="87" xfId="0" applyFont="1" applyFill="1" applyBorder="1" applyProtection="1">
      <alignment vertical="center"/>
      <protection hidden="1"/>
    </xf>
    <xf numFmtId="0" fontId="29" fillId="0" borderId="86" xfId="0" applyFont="1" applyFill="1" applyBorder="1" applyAlignment="1" applyProtection="1">
      <alignment vertical="center"/>
      <protection hidden="1"/>
    </xf>
    <xf numFmtId="0" fontId="29" fillId="0" borderId="87" xfId="0" applyFont="1" applyFill="1" applyBorder="1" applyAlignment="1" applyProtection="1">
      <alignment vertical="center"/>
      <protection hidden="1"/>
    </xf>
    <xf numFmtId="0" fontId="36" fillId="0" borderId="87" xfId="0" applyFont="1" applyFill="1" applyBorder="1" applyAlignment="1" applyProtection="1">
      <alignment horizontal="center" vertical="center"/>
      <protection hidden="1"/>
    </xf>
    <xf numFmtId="0" fontId="36" fillId="0" borderId="88" xfId="0" applyFont="1" applyFill="1" applyBorder="1" applyAlignment="1" applyProtection="1">
      <alignment horizontal="center" vertical="center"/>
      <protection hidden="1"/>
    </xf>
    <xf numFmtId="0" fontId="56" fillId="0" borderId="62" xfId="0" applyFont="1" applyFill="1" applyBorder="1" applyAlignment="1" applyProtection="1">
      <alignment vertical="center"/>
      <protection hidden="1"/>
    </xf>
    <xf numFmtId="38" fontId="6" fillId="0" borderId="10" xfId="35" applyFont="1" applyFill="1" applyBorder="1" applyProtection="1">
      <alignment vertical="center"/>
      <protection hidden="1"/>
    </xf>
    <xf numFmtId="0" fontId="84" fillId="0" borderId="62" xfId="0" applyFont="1" applyFill="1" applyBorder="1" applyProtection="1">
      <alignment vertical="center"/>
      <protection hidden="1"/>
    </xf>
    <xf numFmtId="0" fontId="48" fillId="0" borderId="62" xfId="0" applyFont="1" applyFill="1" applyBorder="1" applyAlignment="1" applyProtection="1">
      <alignment horizontal="left" vertical="center"/>
      <protection hidden="1"/>
    </xf>
    <xf numFmtId="0" fontId="85" fillId="0" borderId="0" xfId="0" applyFont="1" applyFill="1" applyBorder="1" applyAlignment="1" applyProtection="1">
      <alignment horizontal="center" vertical="center"/>
      <protection hidden="1"/>
    </xf>
    <xf numFmtId="0" fontId="56" fillId="0" borderId="0" xfId="0" applyFont="1" applyFill="1" applyBorder="1" applyAlignment="1">
      <alignment vertical="center"/>
    </xf>
    <xf numFmtId="0" fontId="28" fillId="0" borderId="63" xfId="0" applyFont="1" applyFill="1" applyBorder="1" applyAlignment="1" applyProtection="1">
      <alignment horizontal="right" vertical="center"/>
      <protection hidden="1"/>
    </xf>
    <xf numFmtId="0" fontId="6" fillId="0" borderId="10" xfId="0" applyNumberFormat="1" applyFont="1" applyFill="1" applyBorder="1" applyAlignment="1" applyProtection="1">
      <alignment horizontal="center"/>
      <protection hidden="1"/>
    </xf>
    <xf numFmtId="0" fontId="6" fillId="0" borderId="10" xfId="35" applyNumberFormat="1" applyFont="1" applyFill="1" applyBorder="1" applyAlignment="1" applyProtection="1">
      <protection hidden="1"/>
    </xf>
    <xf numFmtId="0" fontId="6" fillId="0" borderId="10" xfId="35" quotePrefix="1" applyNumberFormat="1" applyFont="1" applyFill="1" applyBorder="1" applyAlignment="1" applyProtection="1">
      <protection hidden="1"/>
    </xf>
    <xf numFmtId="0" fontId="48" fillId="0" borderId="86" xfId="0" applyFont="1" applyFill="1" applyBorder="1" applyAlignment="1" applyProtection="1">
      <alignment horizontal="left" vertical="center"/>
      <protection hidden="1"/>
    </xf>
    <xf numFmtId="0" fontId="85" fillId="0" borderId="87" xfId="0" applyFont="1" applyFill="1" applyBorder="1" applyAlignment="1" applyProtection="1">
      <alignment horizontal="center" vertical="center"/>
      <protection hidden="1"/>
    </xf>
    <xf numFmtId="0" fontId="56" fillId="0" borderId="87" xfId="0" applyFont="1" applyFill="1" applyBorder="1" applyAlignment="1">
      <alignment vertical="center"/>
    </xf>
    <xf numFmtId="0" fontId="28" fillId="0" borderId="88" xfId="0" applyFont="1" applyFill="1" applyBorder="1" applyAlignment="1" applyProtection="1">
      <alignment horizontal="right" vertical="center"/>
      <protection hidden="1"/>
    </xf>
    <xf numFmtId="0" fontId="6" fillId="0" borderId="0" xfId="0" applyNumberFormat="1" applyFont="1" applyFill="1" applyBorder="1" applyAlignment="1" applyProtection="1">
      <alignment horizontal="center"/>
      <protection hidden="1"/>
    </xf>
    <xf numFmtId="0" fontId="6" fillId="0" borderId="0" xfId="35" applyNumberFormat="1" applyFont="1" applyFill="1" applyBorder="1" applyAlignment="1" applyProtection="1">
      <protection hidden="1"/>
    </xf>
    <xf numFmtId="0" fontId="67" fillId="0" borderId="62" xfId="0" applyFont="1" applyFill="1" applyBorder="1" applyAlignment="1" applyProtection="1">
      <alignment vertical="center" wrapText="1"/>
      <protection hidden="1"/>
    </xf>
    <xf numFmtId="0" fontId="67" fillId="0" borderId="0" xfId="0" applyFont="1" applyFill="1" applyBorder="1" applyAlignment="1" applyProtection="1">
      <alignment vertical="center" wrapText="1"/>
      <protection hidden="1"/>
    </xf>
    <xf numFmtId="0" fontId="67" fillId="0" borderId="63" xfId="0" applyFont="1" applyFill="1" applyBorder="1" applyAlignment="1" applyProtection="1">
      <alignment vertical="center" wrapText="1"/>
      <protection hidden="1"/>
    </xf>
    <xf numFmtId="188" fontId="48" fillId="0" borderId="0" xfId="35" applyNumberFormat="1" applyFont="1" applyFill="1" applyBorder="1" applyAlignment="1" applyProtection="1">
      <alignment horizontal="right" vertical="center"/>
      <protection hidden="1"/>
    </xf>
    <xf numFmtId="0" fontId="11" fillId="0" borderId="0" xfId="0" applyFont="1" applyFill="1" applyBorder="1" applyProtection="1">
      <alignment vertical="center"/>
      <protection hidden="1"/>
    </xf>
    <xf numFmtId="0" fontId="6" fillId="0" borderId="0" xfId="35" applyNumberFormat="1" applyFont="1" applyFill="1" applyBorder="1" applyAlignment="1" applyProtection="1">
      <alignment wrapText="1"/>
      <protection hidden="1"/>
    </xf>
    <xf numFmtId="188" fontId="48" fillId="0" borderId="0" xfId="35" applyNumberFormat="1" applyFont="1" applyFill="1" applyBorder="1" applyAlignment="1" applyProtection="1">
      <alignment horizontal="right" vertical="top"/>
      <protection hidden="1"/>
    </xf>
    <xf numFmtId="0" fontId="48" fillId="0" borderId="0" xfId="0" applyFont="1" applyFill="1" applyBorder="1" applyProtection="1">
      <alignment vertical="center"/>
      <protection hidden="1"/>
    </xf>
    <xf numFmtId="0" fontId="67" fillId="0" borderId="0" xfId="0" applyFont="1" applyFill="1" applyBorder="1" applyAlignment="1" applyProtection="1">
      <alignment horizontal="left"/>
      <protection hidden="1"/>
    </xf>
    <xf numFmtId="0" fontId="56" fillId="0" borderId="65" xfId="0" applyFont="1" applyFill="1" applyBorder="1" applyProtection="1">
      <alignment vertical="center"/>
      <protection hidden="1"/>
    </xf>
    <xf numFmtId="0" fontId="56" fillId="0" borderId="65" xfId="0" applyFont="1" applyFill="1" applyBorder="1" applyAlignment="1" applyProtection="1">
      <alignment vertical="center"/>
      <protection hidden="1"/>
    </xf>
    <xf numFmtId="0" fontId="67" fillId="0" borderId="66" xfId="0" applyFont="1" applyFill="1" applyBorder="1" applyAlignment="1" applyProtection="1">
      <alignment horizontal="left" vertical="top"/>
      <protection hidden="1"/>
    </xf>
    <xf numFmtId="0" fontId="56" fillId="0" borderId="66" xfId="0" applyFont="1" applyFill="1" applyBorder="1" applyAlignment="1" applyProtection="1">
      <alignment vertical="center"/>
      <protection hidden="1"/>
    </xf>
    <xf numFmtId="0" fontId="56" fillId="0" borderId="67" xfId="0" applyFont="1" applyFill="1" applyBorder="1" applyAlignment="1" applyProtection="1">
      <alignment vertical="center"/>
      <protection hidden="1"/>
    </xf>
    <xf numFmtId="0" fontId="84" fillId="0" borderId="10" xfId="0" applyFont="1" applyFill="1" applyBorder="1" applyProtection="1">
      <alignment vertical="center"/>
      <protection hidden="1"/>
    </xf>
    <xf numFmtId="0" fontId="11" fillId="0" borderId="10" xfId="0" applyFont="1" applyFill="1" applyBorder="1" applyProtection="1">
      <alignment vertical="center"/>
      <protection hidden="1"/>
    </xf>
    <xf numFmtId="0" fontId="64" fillId="30" borderId="68" xfId="0" applyFont="1" applyFill="1" applyBorder="1" applyAlignment="1" applyProtection="1">
      <alignment vertical="center"/>
      <protection hidden="1"/>
    </xf>
    <xf numFmtId="0" fontId="86" fillId="30" borderId="69" xfId="0" applyFont="1" applyFill="1" applyBorder="1" applyAlignment="1" applyProtection="1">
      <alignment vertical="center"/>
      <protection hidden="1"/>
    </xf>
    <xf numFmtId="0" fontId="86" fillId="30" borderId="69" xfId="0" applyFont="1" applyFill="1" applyBorder="1" applyAlignment="1" applyProtection="1">
      <alignment horizontal="right" vertical="center"/>
      <protection hidden="1"/>
    </xf>
    <xf numFmtId="0" fontId="87" fillId="30" borderId="69" xfId="0" applyFont="1" applyFill="1" applyBorder="1" applyAlignment="1" applyProtection="1">
      <alignment horizontal="right" vertical="top"/>
      <protection hidden="1"/>
    </xf>
    <xf numFmtId="0" fontId="60" fillId="30" borderId="69" xfId="0" applyFont="1" applyFill="1" applyBorder="1" applyAlignment="1" applyProtection="1">
      <alignment horizontal="center" vertical="center"/>
      <protection hidden="1"/>
    </xf>
    <xf numFmtId="0" fontId="67" fillId="30" borderId="69" xfId="0" applyFont="1" applyFill="1" applyBorder="1" applyAlignment="1" applyProtection="1">
      <alignment vertical="center"/>
      <protection hidden="1"/>
    </xf>
    <xf numFmtId="0" fontId="87" fillId="30" borderId="71" xfId="0" applyFont="1" applyFill="1" applyBorder="1" applyAlignment="1" applyProtection="1">
      <alignment horizontal="right" vertical="center"/>
      <protection hidden="1"/>
    </xf>
    <xf numFmtId="38" fontId="56" fillId="32" borderId="10" xfId="35" applyFont="1" applyFill="1" applyBorder="1" applyProtection="1">
      <alignment vertical="center"/>
      <protection hidden="1"/>
    </xf>
    <xf numFmtId="0" fontId="56" fillId="32" borderId="10" xfId="0" applyFont="1" applyFill="1" applyBorder="1" applyProtection="1">
      <alignment vertical="center"/>
      <protection hidden="1"/>
    </xf>
    <xf numFmtId="9" fontId="56" fillId="0" borderId="10" xfId="0" applyNumberFormat="1" applyFont="1" applyFill="1" applyBorder="1" applyProtection="1">
      <alignment vertical="center"/>
      <protection hidden="1"/>
    </xf>
    <xf numFmtId="38" fontId="56" fillId="0" borderId="0" xfId="0" applyNumberFormat="1" applyFont="1" applyFill="1" applyBorder="1" applyProtection="1">
      <alignment vertical="center"/>
      <protection hidden="1"/>
    </xf>
    <xf numFmtId="0" fontId="89" fillId="33" borderId="62" xfId="0" applyFont="1" applyFill="1" applyBorder="1" applyAlignment="1" applyProtection="1">
      <alignment vertical="center"/>
      <protection hidden="1"/>
    </xf>
    <xf numFmtId="0" fontId="86" fillId="33" borderId="0" xfId="0" applyFont="1" applyFill="1" applyBorder="1" applyAlignment="1" applyProtection="1">
      <alignment vertical="center"/>
      <protection hidden="1"/>
    </xf>
    <xf numFmtId="0" fontId="60" fillId="33" borderId="0" xfId="0" applyFont="1" applyFill="1" applyBorder="1" applyAlignment="1" applyProtection="1">
      <alignment horizontal="center" vertical="center"/>
      <protection hidden="1"/>
    </xf>
    <xf numFmtId="0" fontId="90" fillId="33" borderId="0" xfId="0" applyFont="1" applyFill="1" applyBorder="1" applyAlignment="1" applyProtection="1">
      <alignment horizontal="right" vertical="center"/>
      <protection hidden="1"/>
    </xf>
    <xf numFmtId="0" fontId="91" fillId="33" borderId="0" xfId="0" applyFont="1" applyFill="1" applyBorder="1" applyAlignment="1" applyProtection="1">
      <alignment horizontal="right" vertical="center"/>
      <protection hidden="1"/>
    </xf>
    <xf numFmtId="0" fontId="93" fillId="33" borderId="0" xfId="0" applyFont="1" applyFill="1" applyBorder="1" applyAlignment="1" applyProtection="1">
      <alignment horizontal="right" vertical="center"/>
      <protection hidden="1"/>
    </xf>
    <xf numFmtId="177" fontId="93" fillId="33" borderId="0" xfId="0" applyNumberFormat="1" applyFont="1" applyFill="1" applyBorder="1" applyAlignment="1" applyProtection="1">
      <alignment horizontal="right" vertical="center"/>
      <protection hidden="1"/>
    </xf>
    <xf numFmtId="0" fontId="87" fillId="33" borderId="63" xfId="0" applyFont="1" applyFill="1" applyBorder="1" applyAlignment="1" applyProtection="1">
      <alignment horizontal="right" vertical="center"/>
      <protection hidden="1"/>
    </xf>
    <xf numFmtId="0" fontId="66" fillId="0" borderId="0" xfId="0" applyFont="1" applyFill="1" applyBorder="1" applyAlignment="1" applyProtection="1">
      <alignment vertical="center"/>
      <protection hidden="1"/>
    </xf>
    <xf numFmtId="184" fontId="66" fillId="0" borderId="0" xfId="0" applyNumberFormat="1" applyFont="1" applyFill="1" applyBorder="1" applyAlignment="1" applyProtection="1">
      <alignment horizontal="left" vertical="center"/>
      <protection hidden="1"/>
    </xf>
    <xf numFmtId="0" fontId="66" fillId="0" borderId="0" xfId="0" applyFont="1" applyFill="1" applyBorder="1" applyAlignment="1" applyProtection="1">
      <alignment horizontal="left" vertical="center"/>
      <protection hidden="1"/>
    </xf>
    <xf numFmtId="38" fontId="11" fillId="32" borderId="10" xfId="0" applyNumberFormat="1" applyFont="1" applyFill="1" applyBorder="1" applyProtection="1">
      <alignment vertical="center"/>
      <protection hidden="1"/>
    </xf>
    <xf numFmtId="0" fontId="94" fillId="0" borderId="0" xfId="0" applyFont="1" applyFill="1" applyBorder="1" applyAlignment="1" applyProtection="1">
      <alignment vertical="center"/>
      <protection hidden="1"/>
    </xf>
    <xf numFmtId="0" fontId="95" fillId="0" borderId="0" xfId="0" applyFont="1" applyFill="1" applyBorder="1" applyAlignment="1" applyProtection="1">
      <alignment horizontal="left" vertical="center"/>
      <protection hidden="1"/>
    </xf>
    <xf numFmtId="0" fontId="96" fillId="0" borderId="0" xfId="0" applyFont="1" applyFill="1" applyBorder="1" applyAlignment="1" applyProtection="1">
      <alignment horizontal="right" vertical="center"/>
      <protection hidden="1"/>
    </xf>
    <xf numFmtId="0" fontId="97" fillId="0" borderId="0" xfId="0" applyFont="1" applyFill="1" applyBorder="1" applyProtection="1">
      <alignment vertical="center"/>
      <protection hidden="1"/>
    </xf>
    <xf numFmtId="184" fontId="66" fillId="0" borderId="63" xfId="0" applyNumberFormat="1" applyFont="1" applyFill="1" applyBorder="1" applyAlignment="1" applyProtection="1">
      <alignment horizontal="center" vertical="center"/>
      <protection hidden="1"/>
    </xf>
    <xf numFmtId="38" fontId="56" fillId="32" borderId="10" xfId="0" applyNumberFormat="1" applyFont="1" applyFill="1" applyBorder="1" applyProtection="1">
      <alignment vertical="center"/>
      <protection hidden="1"/>
    </xf>
    <xf numFmtId="0" fontId="56" fillId="0" borderId="0" xfId="0" quotePrefix="1" applyFont="1" applyFill="1" applyBorder="1" applyProtection="1">
      <alignment vertical="center"/>
      <protection hidden="1"/>
    </xf>
    <xf numFmtId="0" fontId="49" fillId="0" borderId="10" xfId="0" applyNumberFormat="1" applyFont="1" applyFill="1" applyBorder="1" applyAlignment="1" applyProtection="1">
      <alignment horizontal="left" vertical="center"/>
      <protection hidden="1"/>
    </xf>
    <xf numFmtId="204" fontId="49" fillId="0" borderId="10" xfId="0" applyNumberFormat="1" applyFont="1" applyFill="1" applyBorder="1" applyAlignment="1" applyProtection="1">
      <alignment horizontal="left"/>
      <protection hidden="1"/>
    </xf>
    <xf numFmtId="177" fontId="49" fillId="0" borderId="10" xfId="0" applyNumberFormat="1" applyFont="1" applyFill="1" applyBorder="1" applyAlignment="1" applyProtection="1">
      <alignment horizontal="right"/>
      <protection hidden="1"/>
    </xf>
    <xf numFmtId="177" fontId="49" fillId="0" borderId="10" xfId="0" applyNumberFormat="1" applyFont="1" applyFill="1" applyBorder="1" applyProtection="1">
      <alignment vertical="center"/>
      <protection hidden="1"/>
    </xf>
    <xf numFmtId="184" fontId="27" fillId="0" borderId="0" xfId="0" applyNumberFormat="1" applyFont="1" applyFill="1" applyBorder="1" applyAlignment="1" applyProtection="1">
      <alignment horizontal="left" vertical="center"/>
      <protection hidden="1"/>
    </xf>
    <xf numFmtId="0" fontId="6" fillId="0" borderId="10"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34" fillId="0" borderId="57" xfId="0" applyFont="1" applyFill="1" applyBorder="1" applyAlignment="1" applyProtection="1">
      <alignment vertical="center"/>
      <protection hidden="1"/>
    </xf>
    <xf numFmtId="0" fontId="60" fillId="0" borderId="57" xfId="0" applyFont="1" applyFill="1" applyBorder="1" applyAlignment="1" applyProtection="1">
      <alignment horizontal="center" vertical="center"/>
      <protection hidden="1"/>
    </xf>
    <xf numFmtId="0" fontId="60" fillId="0" borderId="57" xfId="0" applyFont="1" applyFill="1" applyBorder="1" applyAlignment="1" applyProtection="1">
      <alignment vertical="center"/>
      <protection hidden="1"/>
    </xf>
    <xf numFmtId="0" fontId="49" fillId="0" borderId="57" xfId="0" applyFont="1" applyFill="1" applyBorder="1" applyProtection="1">
      <alignment vertical="center"/>
      <protection hidden="1"/>
    </xf>
    <xf numFmtId="0" fontId="49" fillId="0" borderId="79" xfId="0" applyFont="1" applyFill="1" applyBorder="1" applyProtection="1">
      <alignment vertical="center"/>
      <protection hidden="1"/>
    </xf>
    <xf numFmtId="0" fontId="49" fillId="0" borderId="53" xfId="0" applyFont="1" applyFill="1" applyBorder="1" applyProtection="1">
      <alignment vertical="center"/>
      <protection hidden="1"/>
    </xf>
    <xf numFmtId="0" fontId="99" fillId="33" borderId="89" xfId="0" applyFont="1" applyFill="1" applyBorder="1" applyAlignment="1" applyProtection="1">
      <alignment vertical="center"/>
      <protection hidden="1"/>
    </xf>
    <xf numFmtId="0" fontId="86" fillId="33" borderId="53" xfId="0" applyFont="1" applyFill="1" applyBorder="1" applyAlignment="1" applyProtection="1">
      <alignment vertical="center"/>
      <protection hidden="1"/>
    </xf>
    <xf numFmtId="0" fontId="86" fillId="33" borderId="53" xfId="0" applyFont="1" applyFill="1" applyBorder="1" applyAlignment="1" applyProtection="1">
      <alignment horizontal="right" vertical="center"/>
      <protection hidden="1"/>
    </xf>
    <xf numFmtId="184" fontId="93" fillId="33" borderId="0" xfId="0" applyNumberFormat="1" applyFont="1" applyFill="1" applyBorder="1" applyAlignment="1" applyProtection="1">
      <alignment horizontal="right" vertical="center"/>
      <protection hidden="1"/>
    </xf>
    <xf numFmtId="0" fontId="66" fillId="0" borderId="62" xfId="0" applyFont="1" applyFill="1" applyBorder="1" applyAlignment="1" applyProtection="1">
      <alignment horizontal="left" vertical="center"/>
      <protection hidden="1"/>
    </xf>
    <xf numFmtId="1" fontId="66" fillId="0" borderId="0" xfId="0" applyNumberFormat="1" applyFont="1" applyFill="1" applyBorder="1" applyAlignment="1" applyProtection="1">
      <alignment horizontal="left" vertical="center"/>
      <protection hidden="1"/>
    </xf>
    <xf numFmtId="0" fontId="66" fillId="0" borderId="63" xfId="0" applyFont="1" applyFill="1" applyBorder="1" applyAlignment="1" applyProtection="1">
      <alignment horizontal="left" vertical="center"/>
      <protection hidden="1"/>
    </xf>
    <xf numFmtId="0" fontId="67" fillId="0" borderId="62" xfId="0" applyFont="1" applyFill="1" applyBorder="1" applyAlignment="1" applyProtection="1">
      <alignment vertical="center"/>
      <protection hidden="1"/>
    </xf>
    <xf numFmtId="0" fontId="100" fillId="0" borderId="0" xfId="0" applyFont="1" applyFill="1" applyBorder="1" applyAlignment="1" applyProtection="1">
      <alignment vertical="center"/>
      <protection hidden="1"/>
    </xf>
    <xf numFmtId="0" fontId="34" fillId="0" borderId="0" xfId="0" applyFont="1" applyFill="1" applyBorder="1" applyAlignment="1" applyProtection="1">
      <alignment horizontal="right" vertical="center"/>
      <protection hidden="1"/>
    </xf>
    <xf numFmtId="1" fontId="34" fillId="0" borderId="0" xfId="0" applyNumberFormat="1" applyFont="1" applyFill="1" applyBorder="1" applyAlignment="1" applyProtection="1">
      <alignment vertical="center"/>
      <protection hidden="1"/>
    </xf>
    <xf numFmtId="0" fontId="67"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left" vertical="center"/>
      <protection hidden="1"/>
    </xf>
    <xf numFmtId="0" fontId="49" fillId="0" borderId="10" xfId="0" applyNumberFormat="1" applyFont="1" applyFill="1" applyBorder="1" applyAlignment="1" applyProtection="1">
      <alignment horizontal="right"/>
      <protection hidden="1"/>
    </xf>
    <xf numFmtId="0" fontId="34" fillId="0" borderId="62" xfId="0" applyFont="1" applyFill="1" applyBorder="1" applyAlignment="1" applyProtection="1">
      <alignment vertical="center"/>
      <protection hidden="1"/>
    </xf>
    <xf numFmtId="177" fontId="56" fillId="0" borderId="0" xfId="0" applyNumberFormat="1" applyFont="1" applyFill="1" applyBorder="1" applyProtection="1">
      <alignment vertical="center"/>
      <protection hidden="1"/>
    </xf>
    <xf numFmtId="188" fontId="49" fillId="0" borderId="10" xfId="35" applyNumberFormat="1" applyFont="1" applyFill="1" applyBorder="1" applyAlignment="1" applyProtection="1">
      <alignment horizontal="right"/>
      <protection hidden="1"/>
    </xf>
    <xf numFmtId="0" fontId="6" fillId="0" borderId="10" xfId="0" applyNumberFormat="1" applyFont="1" applyFill="1" applyBorder="1" applyAlignment="1" applyProtection="1">
      <alignment horizontal="left"/>
      <protection hidden="1"/>
    </xf>
    <xf numFmtId="0" fontId="34" fillId="0" borderId="65" xfId="0" applyFont="1" applyFill="1" applyBorder="1" applyAlignment="1" applyProtection="1">
      <alignment vertical="center"/>
      <protection hidden="1"/>
    </xf>
    <xf numFmtId="0" fontId="34" fillId="0" borderId="66" xfId="0" applyFont="1" applyFill="1" applyBorder="1" applyAlignment="1" applyProtection="1">
      <alignment vertical="center"/>
      <protection hidden="1"/>
    </xf>
    <xf numFmtId="0" fontId="34" fillId="0" borderId="66" xfId="0" applyFont="1" applyFill="1" applyBorder="1" applyAlignment="1" applyProtection="1">
      <alignment horizontal="right" vertical="center"/>
      <protection hidden="1"/>
    </xf>
    <xf numFmtId="0" fontId="60" fillId="0" borderId="66" xfId="0" applyFont="1" applyFill="1" applyBorder="1" applyAlignment="1" applyProtection="1">
      <alignment vertical="center"/>
      <protection hidden="1"/>
    </xf>
    <xf numFmtId="0" fontId="27" fillId="0" borderId="66" xfId="0" applyFont="1" applyFill="1" applyBorder="1" applyAlignment="1" applyProtection="1">
      <alignment horizontal="left" vertical="center"/>
      <protection hidden="1"/>
    </xf>
    <xf numFmtId="0" fontId="67" fillId="0" borderId="66" xfId="0" applyFont="1" applyFill="1" applyBorder="1" applyAlignment="1" applyProtection="1">
      <alignment vertical="center"/>
      <protection hidden="1"/>
    </xf>
    <xf numFmtId="0" fontId="67"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49" fillId="34" borderId="10" xfId="0" applyNumberFormat="1" applyFont="1" applyFill="1" applyBorder="1" applyAlignment="1" applyProtection="1">
      <alignment horizontal="right"/>
      <protection hidden="1"/>
    </xf>
    <xf numFmtId="0" fontId="79" fillId="0" borderId="0" xfId="0" applyFont="1" applyFill="1" applyBorder="1" applyAlignment="1" applyProtection="1">
      <alignment vertical="center"/>
      <protection hidden="1"/>
    </xf>
    <xf numFmtId="0" fontId="27" fillId="0" borderId="0" xfId="0" applyFont="1" applyFill="1" applyBorder="1" applyAlignment="1" applyProtection="1">
      <alignment horizontal="right" vertical="center"/>
      <protection hidden="1"/>
    </xf>
    <xf numFmtId="0" fontId="49" fillId="0" borderId="0" xfId="0" applyNumberFormat="1" applyFont="1" applyFill="1" applyBorder="1" applyAlignment="1" applyProtection="1">
      <alignment horizontal="right"/>
      <protection hidden="1"/>
    </xf>
    <xf numFmtId="0" fontId="86" fillId="30" borderId="60" xfId="0" applyFont="1" applyFill="1" applyBorder="1" applyAlignment="1" applyProtection="1">
      <alignment vertical="center"/>
      <protection hidden="1"/>
    </xf>
    <xf numFmtId="0" fontId="86" fillId="30" borderId="60" xfId="0" applyFont="1" applyFill="1" applyBorder="1" applyAlignment="1" applyProtection="1">
      <alignment horizontal="right" vertical="center"/>
      <protection hidden="1"/>
    </xf>
    <xf numFmtId="0" fontId="101" fillId="30" borderId="60" xfId="0" applyFont="1" applyFill="1" applyBorder="1" applyAlignment="1" applyProtection="1">
      <alignment horizontal="right" vertical="top"/>
      <protection hidden="1"/>
    </xf>
    <xf numFmtId="0" fontId="60" fillId="30" borderId="60" xfId="0" applyFont="1" applyFill="1" applyBorder="1" applyAlignment="1" applyProtection="1">
      <alignment horizontal="center" vertical="center"/>
      <protection hidden="1"/>
    </xf>
    <xf numFmtId="0" fontId="67" fillId="30" borderId="60" xfId="0" applyFont="1" applyFill="1" applyBorder="1" applyAlignment="1" applyProtection="1">
      <alignment vertical="center"/>
      <protection hidden="1"/>
    </xf>
    <xf numFmtId="0" fontId="101" fillId="30" borderId="61" xfId="0" applyFont="1" applyFill="1" applyBorder="1" applyAlignment="1" applyProtection="1">
      <alignment horizontal="right" vertical="center"/>
      <protection hidden="1"/>
    </xf>
    <xf numFmtId="0" fontId="4" fillId="35" borderId="89" xfId="0" applyFont="1" applyFill="1" applyBorder="1" applyAlignment="1" applyProtection="1">
      <alignment vertical="center"/>
      <protection hidden="1"/>
    </xf>
    <xf numFmtId="0" fontId="86" fillId="35" borderId="53" xfId="0" applyFont="1" applyFill="1" applyBorder="1" applyAlignment="1" applyProtection="1">
      <alignment vertical="center"/>
      <protection hidden="1"/>
    </xf>
    <xf numFmtId="0" fontId="86" fillId="35" borderId="53" xfId="0" applyFont="1" applyFill="1" applyBorder="1" applyAlignment="1" applyProtection="1">
      <alignment horizontal="right" vertical="center"/>
      <protection hidden="1"/>
    </xf>
    <xf numFmtId="0" fontId="102" fillId="35" borderId="54" xfId="0" applyFont="1" applyFill="1" applyBorder="1" applyAlignment="1" applyProtection="1">
      <alignment vertical="center"/>
      <protection hidden="1"/>
    </xf>
    <xf numFmtId="0" fontId="4" fillId="35" borderId="53" xfId="0" applyFont="1" applyFill="1" applyBorder="1" applyAlignment="1" applyProtection="1">
      <alignment vertical="center"/>
      <protection hidden="1"/>
    </xf>
    <xf numFmtId="0" fontId="102" fillId="35" borderId="53" xfId="0" applyFont="1" applyFill="1" applyBorder="1" applyAlignment="1" applyProtection="1">
      <alignment horizontal="center" vertical="center"/>
      <protection hidden="1"/>
    </xf>
    <xf numFmtId="0" fontId="102" fillId="35" borderId="90" xfId="0" applyFont="1" applyFill="1" applyBorder="1" applyAlignment="1" applyProtection="1">
      <alignment horizontal="center" vertical="center"/>
      <protection hidden="1"/>
    </xf>
    <xf numFmtId="205" fontId="49" fillId="0" borderId="0" xfId="0" applyNumberFormat="1" applyFont="1" applyFill="1" applyBorder="1" applyProtection="1">
      <alignment vertical="center"/>
      <protection hidden="1"/>
    </xf>
    <xf numFmtId="0" fontId="103" fillId="35" borderId="89" xfId="0" applyFont="1" applyFill="1" applyBorder="1" applyAlignment="1" applyProtection="1">
      <alignment vertical="center"/>
      <protection hidden="1"/>
    </xf>
    <xf numFmtId="0" fontId="102" fillId="35" borderId="54" xfId="0" applyFont="1" applyFill="1" applyBorder="1" applyAlignment="1" applyProtection="1">
      <alignment horizontal="center" vertical="center"/>
      <protection hidden="1"/>
    </xf>
    <xf numFmtId="0" fontId="103" fillId="35" borderId="64" xfId="0" applyFont="1" applyFill="1" applyBorder="1">
      <alignment vertical="center"/>
    </xf>
    <xf numFmtId="0" fontId="102" fillId="35" borderId="0" xfId="0" applyFont="1" applyFill="1" applyBorder="1" applyAlignment="1" applyProtection="1">
      <alignment horizontal="center" vertical="center"/>
      <protection hidden="1"/>
    </xf>
    <xf numFmtId="0" fontId="102" fillId="35" borderId="17" xfId="0" applyFont="1" applyFill="1" applyBorder="1" applyAlignment="1" applyProtection="1">
      <alignment horizontal="center" vertical="center"/>
      <protection hidden="1"/>
    </xf>
    <xf numFmtId="0" fontId="103" fillId="35" borderId="52" xfId="0" applyFont="1" applyFill="1" applyBorder="1">
      <alignment vertical="center"/>
    </xf>
    <xf numFmtId="0" fontId="102" fillId="35" borderId="0" xfId="0" applyFont="1" applyFill="1" applyBorder="1" applyAlignment="1" applyProtection="1">
      <alignment horizontal="left" vertical="center"/>
      <protection hidden="1"/>
    </xf>
    <xf numFmtId="0" fontId="86" fillId="35" borderId="0" xfId="0" applyFont="1" applyFill="1" applyBorder="1" applyAlignment="1" applyProtection="1">
      <alignment horizontal="right" vertical="center"/>
      <protection hidden="1"/>
    </xf>
    <xf numFmtId="0" fontId="86" fillId="35" borderId="63" xfId="0" applyFont="1" applyFill="1" applyBorder="1" applyAlignment="1" applyProtection="1">
      <alignment horizontal="right" vertical="center"/>
      <protection hidden="1"/>
    </xf>
    <xf numFmtId="0" fontId="103" fillId="35" borderId="89" xfId="0" applyFont="1" applyFill="1" applyBorder="1">
      <alignment vertical="center"/>
    </xf>
    <xf numFmtId="0" fontId="102" fillId="35" borderId="53" xfId="0" applyFont="1" applyFill="1" applyBorder="1" applyAlignment="1" applyProtection="1">
      <alignment horizontal="left" vertical="center"/>
      <protection hidden="1"/>
    </xf>
    <xf numFmtId="0" fontId="86" fillId="35" borderId="54" xfId="0" applyFont="1" applyFill="1" applyBorder="1" applyAlignment="1" applyProtection="1">
      <alignment horizontal="right" vertical="center"/>
      <protection hidden="1"/>
    </xf>
    <xf numFmtId="0" fontId="103" fillId="35" borderId="0" xfId="0" applyFont="1" applyFill="1" applyBorder="1">
      <alignment vertical="center"/>
    </xf>
    <xf numFmtId="0" fontId="103" fillId="35" borderId="53" xfId="0" applyFont="1" applyFill="1" applyBorder="1">
      <alignment vertical="center"/>
    </xf>
    <xf numFmtId="0" fontId="86" fillId="35" borderId="90" xfId="0" applyFont="1" applyFill="1" applyBorder="1" applyAlignment="1" applyProtection="1">
      <alignment horizontal="right" vertical="center"/>
      <protection hidden="1"/>
    </xf>
    <xf numFmtId="0" fontId="63" fillId="36" borderId="68" xfId="0" applyFont="1" applyFill="1" applyBorder="1" applyAlignment="1" applyProtection="1">
      <alignment vertical="center"/>
      <protection hidden="1"/>
    </xf>
    <xf numFmtId="0" fontId="86" fillId="36" borderId="69" xfId="0" applyFont="1" applyFill="1" applyBorder="1" applyAlignment="1" applyProtection="1">
      <alignment vertical="center"/>
      <protection hidden="1"/>
    </xf>
    <xf numFmtId="0" fontId="86" fillId="36" borderId="69" xfId="0" applyFont="1" applyFill="1" applyBorder="1" applyAlignment="1" applyProtection="1">
      <alignment horizontal="right" vertical="center"/>
      <protection hidden="1"/>
    </xf>
    <xf numFmtId="0" fontId="87" fillId="36" borderId="69" xfId="0" applyFont="1" applyFill="1" applyBorder="1" applyAlignment="1" applyProtection="1">
      <alignment vertical="top"/>
      <protection hidden="1"/>
    </xf>
    <xf numFmtId="0" fontId="67" fillId="36" borderId="69" xfId="0" applyFont="1" applyFill="1" applyBorder="1" applyAlignment="1" applyProtection="1">
      <alignment vertical="center"/>
      <protection hidden="1"/>
    </xf>
    <xf numFmtId="0" fontId="101" fillId="36" borderId="69" xfId="0" applyFont="1" applyFill="1" applyBorder="1" applyAlignment="1" applyProtection="1">
      <alignment vertical="center"/>
      <protection hidden="1"/>
    </xf>
    <xf numFmtId="0" fontId="87" fillId="36" borderId="71" xfId="0" applyFont="1" applyFill="1" applyBorder="1" applyAlignment="1" applyProtection="1">
      <alignment horizontal="right" vertical="center"/>
      <protection hidden="1"/>
    </xf>
    <xf numFmtId="0" fontId="63" fillId="37" borderId="59" xfId="0" applyFont="1" applyFill="1" applyBorder="1" applyAlignment="1" applyProtection="1">
      <alignment vertical="center"/>
      <protection hidden="1"/>
    </xf>
    <xf numFmtId="0" fontId="86" fillId="37" borderId="60" xfId="0" applyFont="1" applyFill="1" applyBorder="1" applyAlignment="1" applyProtection="1">
      <alignment vertical="center"/>
      <protection hidden="1"/>
    </xf>
    <xf numFmtId="0" fontId="86" fillId="37" borderId="60" xfId="0" applyFont="1" applyFill="1" applyBorder="1" applyAlignment="1" applyProtection="1">
      <alignment horizontal="right" vertical="center"/>
      <protection hidden="1"/>
    </xf>
    <xf numFmtId="0" fontId="101" fillId="37" borderId="60" xfId="0" applyFont="1" applyFill="1" applyBorder="1" applyAlignment="1" applyProtection="1">
      <alignment vertical="center"/>
      <protection hidden="1"/>
    </xf>
    <xf numFmtId="0" fontId="2" fillId="37" borderId="60" xfId="0" applyFont="1" applyFill="1" applyBorder="1" applyAlignment="1" applyProtection="1">
      <alignment vertical="center"/>
      <protection hidden="1"/>
    </xf>
    <xf numFmtId="0" fontId="67" fillId="37" borderId="60" xfId="0" applyFont="1" applyFill="1" applyBorder="1" applyAlignment="1" applyProtection="1">
      <alignment vertical="center"/>
      <protection hidden="1"/>
    </xf>
    <xf numFmtId="0" fontId="2" fillId="37" borderId="61" xfId="0" applyFont="1" applyFill="1" applyBorder="1" applyAlignment="1" applyProtection="1">
      <alignment horizontal="right" vertical="center"/>
      <protection hidden="1"/>
    </xf>
    <xf numFmtId="0" fontId="59" fillId="38" borderId="59" xfId="0" applyFont="1" applyFill="1" applyBorder="1" applyAlignment="1" applyProtection="1">
      <alignment horizontal="left" vertical="center"/>
      <protection hidden="1"/>
    </xf>
    <xf numFmtId="0" fontId="59" fillId="38" borderId="60" xfId="0" applyFont="1" applyFill="1" applyBorder="1" applyAlignment="1" applyProtection="1">
      <alignment horizontal="left" vertical="center"/>
      <protection hidden="1"/>
    </xf>
    <xf numFmtId="0" fontId="59" fillId="38" borderId="60" xfId="0" applyFont="1" applyFill="1" applyBorder="1" applyAlignment="1" applyProtection="1">
      <alignment horizontal="right" vertical="center"/>
      <protection hidden="1"/>
    </xf>
    <xf numFmtId="0" fontId="37" fillId="31" borderId="60" xfId="0" applyFont="1" applyFill="1" applyBorder="1" applyAlignment="1" applyProtection="1">
      <alignment vertical="center"/>
      <protection hidden="1"/>
    </xf>
    <xf numFmtId="0" fontId="34" fillId="31" borderId="60" xfId="0" applyFont="1" applyFill="1" applyBorder="1" applyAlignment="1" applyProtection="1">
      <alignment vertical="center"/>
      <protection hidden="1"/>
    </xf>
    <xf numFmtId="0" fontId="67" fillId="31" borderId="60" xfId="0" applyFont="1" applyFill="1" applyBorder="1" applyAlignment="1" applyProtection="1">
      <alignment vertical="center"/>
      <protection hidden="1"/>
    </xf>
    <xf numFmtId="0" fontId="34" fillId="31" borderId="61" xfId="0" applyFont="1" applyFill="1" applyBorder="1" applyAlignment="1" applyProtection="1">
      <alignment horizontal="right" vertical="center"/>
      <protection hidden="1"/>
    </xf>
    <xf numFmtId="0" fontId="59" fillId="38" borderId="62" xfId="0" applyFont="1" applyFill="1" applyBorder="1" applyAlignment="1" applyProtection="1">
      <alignment horizontal="left" vertical="center"/>
      <protection hidden="1"/>
    </xf>
    <xf numFmtId="49" fontId="33" fillId="38" borderId="0" xfId="0" applyNumberFormat="1"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right" vertical="center"/>
      <protection hidden="1"/>
    </xf>
    <xf numFmtId="49" fontId="27" fillId="24" borderId="0" xfId="0" applyNumberFormat="1" applyFont="1" applyFill="1" applyBorder="1" applyAlignment="1" applyProtection="1">
      <alignment horizontal="left" vertical="center"/>
      <protection locked="0"/>
    </xf>
    <xf numFmtId="49" fontId="33" fillId="0" borderId="0" xfId="0" applyNumberFormat="1" applyFont="1" applyFill="1" applyBorder="1" applyAlignment="1" applyProtection="1">
      <alignment horizontal="left" vertical="center"/>
      <protection hidden="1"/>
    </xf>
    <xf numFmtId="49" fontId="34" fillId="0" borderId="0" xfId="0" applyNumberFormat="1" applyFont="1" applyFill="1" applyBorder="1" applyAlignment="1" applyProtection="1">
      <alignment horizontal="left" vertical="center"/>
      <protection hidden="1"/>
    </xf>
    <xf numFmtId="49" fontId="27" fillId="24" borderId="0" xfId="0" applyNumberFormat="1" applyFont="1" applyFill="1" applyBorder="1" applyAlignment="1" applyProtection="1">
      <alignment horizontal="right" vertical="center"/>
      <protection locked="0"/>
    </xf>
    <xf numFmtId="0" fontId="34" fillId="24" borderId="0" xfId="0" applyNumberFormat="1" applyFont="1" applyFill="1" applyBorder="1" applyAlignment="1" applyProtection="1">
      <alignment horizontal="center" vertical="center"/>
      <protection locked="0"/>
    </xf>
    <xf numFmtId="0" fontId="34" fillId="0" borderId="0" xfId="0" applyNumberFormat="1" applyFont="1" applyFill="1" applyBorder="1" applyAlignment="1" applyProtection="1">
      <alignment horizontal="center" vertical="center"/>
      <protection hidden="1"/>
    </xf>
    <xf numFmtId="49" fontId="27" fillId="0" borderId="0" xfId="0" applyNumberFormat="1" applyFont="1" applyFill="1" applyBorder="1" applyAlignment="1" applyProtection="1">
      <alignment horizontal="center" vertical="center"/>
      <protection hidden="1"/>
    </xf>
    <xf numFmtId="49" fontId="27" fillId="0" borderId="63" xfId="0" applyNumberFormat="1" applyFont="1" applyFill="1" applyBorder="1" applyAlignment="1" applyProtection="1">
      <alignment horizontal="left" vertical="center"/>
      <protection hidden="1"/>
    </xf>
    <xf numFmtId="0" fontId="33" fillId="38" borderId="0" xfId="0" applyFont="1" applyFill="1" applyBorder="1" applyAlignment="1" applyProtection="1">
      <alignment vertical="center"/>
      <protection hidden="1"/>
    </xf>
    <xf numFmtId="0" fontId="34" fillId="38" borderId="0" xfId="0" applyFont="1" applyFill="1" applyBorder="1" applyAlignment="1" applyProtection="1">
      <alignment horizontal="right" vertical="center"/>
      <protection hidden="1"/>
    </xf>
    <xf numFmtId="0" fontId="34" fillId="24" borderId="0" xfId="0" applyFont="1" applyFill="1" applyBorder="1" applyAlignment="1" applyProtection="1">
      <alignment vertical="center"/>
      <protection locked="0"/>
    </xf>
    <xf numFmtId="0" fontId="34" fillId="24" borderId="0" xfId="0" applyFont="1" applyFill="1" applyBorder="1" applyAlignment="1" applyProtection="1">
      <alignment horizontal="right" vertical="center"/>
      <protection locked="0"/>
    </xf>
    <xf numFmtId="0" fontId="34" fillId="24" borderId="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hidden="1"/>
    </xf>
    <xf numFmtId="0" fontId="34" fillId="0" borderId="63" xfId="0" applyFont="1" applyFill="1" applyBorder="1" applyAlignment="1" applyProtection="1">
      <alignment vertical="center"/>
      <protection hidden="1"/>
    </xf>
    <xf numFmtId="0" fontId="83" fillId="0" borderId="0" xfId="0" applyFont="1" applyFill="1" applyProtection="1">
      <alignment vertical="center"/>
      <protection hidden="1"/>
    </xf>
    <xf numFmtId="0" fontId="83" fillId="38" borderId="62" xfId="0" applyFont="1" applyFill="1" applyBorder="1" applyProtection="1">
      <alignment vertical="center"/>
      <protection hidden="1"/>
    </xf>
    <xf numFmtId="0" fontId="33" fillId="38" borderId="0" xfId="0" applyFont="1" applyFill="1" applyBorder="1" applyAlignment="1" applyProtection="1">
      <alignment horizontal="left" vertical="center"/>
      <protection hidden="1"/>
    </xf>
    <xf numFmtId="49" fontId="34" fillId="0" borderId="0" xfId="0" applyNumberFormat="1" applyFont="1" applyFill="1" applyBorder="1" applyAlignment="1" applyProtection="1">
      <alignment horizontal="center" vertical="center"/>
      <protection hidden="1"/>
    </xf>
    <xf numFmtId="0" fontId="34" fillId="38" borderId="0" xfId="0" applyFont="1" applyFill="1" applyBorder="1" applyAlignment="1" applyProtection="1">
      <alignment horizontal="left" vertical="center"/>
      <protection hidden="1"/>
    </xf>
    <xf numFmtId="49" fontId="34" fillId="0" borderId="63" xfId="0" applyNumberFormat="1" applyFont="1" applyFill="1" applyBorder="1" applyAlignment="1" applyProtection="1">
      <alignment horizontal="left" vertical="center"/>
      <protection hidden="1"/>
    </xf>
    <xf numFmtId="0" fontId="33" fillId="0" borderId="0" xfId="0" applyFont="1" applyFill="1" applyBorder="1" applyAlignment="1" applyProtection="1">
      <alignment vertical="center"/>
      <protection hidden="1"/>
    </xf>
    <xf numFmtId="0" fontId="59" fillId="38" borderId="65" xfId="0" applyFont="1" applyFill="1" applyBorder="1" applyAlignment="1" applyProtection="1">
      <alignment horizontal="left" vertical="center"/>
      <protection hidden="1"/>
    </xf>
    <xf numFmtId="0" fontId="34" fillId="24" borderId="66" xfId="0" applyFont="1" applyFill="1" applyBorder="1" applyAlignment="1" applyProtection="1">
      <alignment horizontal="left" vertical="center"/>
      <protection locked="0"/>
    </xf>
    <xf numFmtId="0" fontId="34" fillId="38" borderId="66" xfId="0" applyFont="1" applyFill="1" applyBorder="1" applyAlignment="1" applyProtection="1">
      <alignment horizontal="right" vertical="center"/>
      <protection hidden="1"/>
    </xf>
    <xf numFmtId="0" fontId="34" fillId="24" borderId="66" xfId="0" applyFont="1" applyFill="1" applyBorder="1" applyAlignment="1" applyProtection="1">
      <alignment vertical="center"/>
      <protection locked="0"/>
    </xf>
    <xf numFmtId="0" fontId="33" fillId="0" borderId="66" xfId="0" applyFont="1" applyFill="1" applyBorder="1" applyAlignment="1" applyProtection="1">
      <alignment vertical="center"/>
      <protection hidden="1"/>
    </xf>
    <xf numFmtId="0" fontId="34" fillId="24" borderId="66" xfId="0" applyFont="1" applyFill="1" applyBorder="1" applyAlignment="1" applyProtection="1">
      <alignment horizontal="right" vertical="center"/>
      <protection locked="0"/>
    </xf>
    <xf numFmtId="0" fontId="34" fillId="0" borderId="66" xfId="0" applyFont="1" applyFill="1" applyBorder="1" applyAlignment="1" applyProtection="1">
      <alignment horizontal="center" vertical="center"/>
      <protection hidden="1"/>
    </xf>
    <xf numFmtId="0" fontId="34" fillId="0" borderId="67" xfId="0" applyFont="1" applyFill="1" applyBorder="1" applyAlignment="1" applyProtection="1">
      <alignment vertical="center"/>
      <protection hidden="1"/>
    </xf>
    <xf numFmtId="0" fontId="63" fillId="37" borderId="68" xfId="0" applyFont="1" applyFill="1" applyBorder="1" applyAlignment="1" applyProtection="1">
      <alignment horizontal="left" vertical="center"/>
      <protection hidden="1"/>
    </xf>
    <xf numFmtId="0" fontId="101" fillId="37" borderId="69" xfId="0" applyFont="1" applyFill="1" applyBorder="1" applyAlignment="1" applyProtection="1">
      <alignment horizontal="left" vertical="center"/>
      <protection hidden="1"/>
    </xf>
    <xf numFmtId="0" fontId="101" fillId="37" borderId="69" xfId="0" applyFont="1" applyFill="1" applyBorder="1" applyAlignment="1" applyProtection="1">
      <alignment horizontal="right" vertical="center"/>
      <protection hidden="1"/>
    </xf>
    <xf numFmtId="0" fontId="101" fillId="37" borderId="69" xfId="0" applyFont="1" applyFill="1" applyBorder="1" applyAlignment="1" applyProtection="1">
      <alignment vertical="center"/>
      <protection hidden="1"/>
    </xf>
    <xf numFmtId="0" fontId="106" fillId="37" borderId="69" xfId="0" applyFont="1" applyFill="1" applyBorder="1" applyAlignment="1" applyProtection="1">
      <alignment vertical="center"/>
      <protection hidden="1"/>
    </xf>
    <xf numFmtId="0" fontId="106" fillId="37" borderId="71" xfId="0" applyFont="1" applyFill="1" applyBorder="1" applyAlignment="1" applyProtection="1">
      <alignment vertical="center"/>
      <protection hidden="1"/>
    </xf>
    <xf numFmtId="0" fontId="4" fillId="33" borderId="59" xfId="0" applyNumberFormat="1" applyFont="1" applyFill="1" applyBorder="1" applyAlignment="1" applyProtection="1">
      <alignment vertical="center"/>
      <protection hidden="1"/>
    </xf>
    <xf numFmtId="0" fontId="102" fillId="33" borderId="60" xfId="0" applyNumberFormat="1" applyFont="1" applyFill="1" applyBorder="1" applyAlignment="1" applyProtection="1">
      <alignment vertical="center"/>
      <protection hidden="1"/>
    </xf>
    <xf numFmtId="0" fontId="102" fillId="33" borderId="60" xfId="0" applyNumberFormat="1" applyFont="1" applyFill="1" applyBorder="1" applyAlignment="1" applyProtection="1">
      <alignment horizontal="right" vertical="center"/>
      <protection hidden="1"/>
    </xf>
    <xf numFmtId="184" fontId="64" fillId="33" borderId="60" xfId="0" applyNumberFormat="1" applyFont="1" applyFill="1" applyBorder="1" applyAlignment="1" applyProtection="1">
      <alignment horizontal="center" vertical="center"/>
      <protection hidden="1"/>
    </xf>
    <xf numFmtId="0" fontId="83" fillId="33" borderId="60" xfId="0" applyFont="1" applyFill="1" applyBorder="1" applyProtection="1">
      <alignment vertical="center"/>
      <protection hidden="1"/>
    </xf>
    <xf numFmtId="0" fontId="4" fillId="33" borderId="91" xfId="0" applyNumberFormat="1" applyFont="1" applyFill="1" applyBorder="1" applyAlignment="1" applyProtection="1">
      <alignment vertical="center"/>
      <protection hidden="1"/>
    </xf>
    <xf numFmtId="0" fontId="64" fillId="33" borderId="60" xfId="0" applyNumberFormat="1" applyFont="1" applyFill="1" applyBorder="1" applyAlignment="1" applyProtection="1">
      <alignment vertical="center"/>
      <protection hidden="1"/>
    </xf>
    <xf numFmtId="0" fontId="64" fillId="33" borderId="60" xfId="0" applyNumberFormat="1" applyFont="1" applyFill="1" applyBorder="1" applyAlignment="1" applyProtection="1">
      <alignment horizontal="right" vertical="center"/>
      <protection hidden="1"/>
    </xf>
    <xf numFmtId="0" fontId="102" fillId="33" borderId="61" xfId="0" applyNumberFormat="1" applyFont="1" applyFill="1" applyBorder="1" applyAlignment="1" applyProtection="1">
      <alignment vertical="center"/>
      <protection hidden="1"/>
    </xf>
    <xf numFmtId="0" fontId="67" fillId="0" borderId="62" xfId="0" applyFont="1" applyFill="1" applyBorder="1" applyAlignment="1" applyProtection="1">
      <alignment horizontal="left" vertical="center"/>
      <protection hidden="1"/>
    </xf>
    <xf numFmtId="0" fontId="107" fillId="24" borderId="0" xfId="0" applyNumberFormat="1" applyFont="1" applyFill="1" applyBorder="1" applyAlignment="1" applyProtection="1">
      <alignment horizontal="left" vertical="center"/>
      <protection locked="0"/>
    </xf>
    <xf numFmtId="0" fontId="108" fillId="0" borderId="0" xfId="0" applyNumberFormat="1" applyFont="1" applyFill="1" applyBorder="1" applyAlignment="1" applyProtection="1">
      <alignment horizontal="right" vertical="center"/>
      <protection hidden="1"/>
    </xf>
    <xf numFmtId="0" fontId="107" fillId="24" borderId="64" xfId="0" applyNumberFormat="1" applyFont="1" applyFill="1" applyBorder="1" applyAlignment="1" applyProtection="1">
      <alignment horizontal="left" vertical="center"/>
      <protection locked="0"/>
    </xf>
    <xf numFmtId="0" fontId="84" fillId="0" borderId="0" xfId="0" applyFont="1" applyFill="1" applyBorder="1" applyAlignment="1" applyProtection="1">
      <alignment vertical="center"/>
      <protection hidden="1"/>
    </xf>
    <xf numFmtId="0" fontId="67" fillId="0" borderId="65" xfId="0" applyFont="1" applyFill="1" applyBorder="1" applyAlignment="1" applyProtection="1">
      <alignment horizontal="left" vertical="center"/>
      <protection hidden="1"/>
    </xf>
    <xf numFmtId="0" fontId="108" fillId="24" borderId="66" xfId="0" applyNumberFormat="1" applyFont="1" applyFill="1" applyBorder="1" applyAlignment="1" applyProtection="1">
      <alignment horizontal="left" vertical="center"/>
      <protection locked="0"/>
    </xf>
    <xf numFmtId="0" fontId="108" fillId="0" borderId="66" xfId="0" applyNumberFormat="1" applyFont="1" applyFill="1" applyBorder="1" applyAlignment="1" applyProtection="1">
      <alignment horizontal="right" vertical="center"/>
      <protection hidden="1"/>
    </xf>
    <xf numFmtId="0" fontId="108" fillId="24" borderId="83" xfId="0" applyNumberFormat="1" applyFont="1" applyFill="1" applyBorder="1" applyAlignment="1" applyProtection="1">
      <alignment horizontal="left" vertical="center"/>
      <protection locked="0"/>
    </xf>
    <xf numFmtId="0" fontId="40" fillId="0" borderId="66" xfId="0" applyFont="1" applyFill="1" applyBorder="1" applyAlignment="1" applyProtection="1">
      <alignment horizontal="left" vertical="top"/>
      <protection hidden="1"/>
    </xf>
    <xf numFmtId="0" fontId="40" fillId="0" borderId="67" xfId="0" applyFont="1" applyFill="1" applyBorder="1" applyAlignment="1" applyProtection="1">
      <alignment horizontal="left" vertical="top"/>
      <protection hidden="1"/>
    </xf>
    <xf numFmtId="0" fontId="56" fillId="0" borderId="0" xfId="0" applyFont="1" applyFill="1" applyProtection="1">
      <alignment vertical="center"/>
      <protection hidden="1"/>
    </xf>
    <xf numFmtId="0" fontId="109" fillId="0" borderId="52" xfId="0" quotePrefix="1" applyNumberFormat="1" applyFont="1" applyFill="1" applyBorder="1" applyAlignment="1" applyProtection="1">
      <alignment horizontal="left" vertical="center"/>
      <protection hidden="1"/>
    </xf>
    <xf numFmtId="0" fontId="110" fillId="0" borderId="53" xfId="0" applyFont="1" applyFill="1" applyBorder="1" applyAlignment="1" applyProtection="1">
      <alignment horizontal="right" vertical="center"/>
      <protection hidden="1"/>
    </xf>
    <xf numFmtId="0" fontId="59" fillId="0" borderId="53" xfId="0" applyFont="1" applyFill="1" applyBorder="1" applyAlignment="1" applyProtection="1">
      <alignment horizontal="right" vertical="center"/>
      <protection hidden="1"/>
    </xf>
    <xf numFmtId="0" fontId="110" fillId="0" borderId="53" xfId="0" quotePrefix="1" applyNumberFormat="1" applyFont="1" applyFill="1" applyBorder="1" applyAlignment="1" applyProtection="1">
      <alignment horizontal="left" vertical="center"/>
      <protection hidden="1"/>
    </xf>
    <xf numFmtId="0" fontId="56" fillId="0" borderId="53" xfId="0" applyFont="1" applyFill="1" applyBorder="1" applyProtection="1">
      <alignment vertical="center"/>
      <protection hidden="1"/>
    </xf>
    <xf numFmtId="0" fontId="110" fillId="0" borderId="53" xfId="0" quotePrefix="1" applyNumberFormat="1" applyFont="1" applyFill="1" applyBorder="1" applyAlignment="1" applyProtection="1">
      <alignment horizontal="center" vertical="center"/>
      <protection hidden="1"/>
    </xf>
    <xf numFmtId="0" fontId="110" fillId="0" borderId="53" xfId="0" applyFont="1" applyFill="1" applyBorder="1" applyAlignment="1" applyProtection="1">
      <alignment horizontal="center" vertical="center"/>
      <protection hidden="1"/>
    </xf>
    <xf numFmtId="0" fontId="110" fillId="0" borderId="53" xfId="0" applyFont="1" applyFill="1" applyBorder="1" applyAlignment="1" applyProtection="1">
      <alignment vertical="center"/>
      <protection hidden="1"/>
    </xf>
    <xf numFmtId="0" fontId="110" fillId="0" borderId="54" xfId="0" applyFont="1" applyFill="1" applyBorder="1" applyAlignment="1" applyProtection="1">
      <alignment vertical="center"/>
      <protection hidden="1"/>
    </xf>
    <xf numFmtId="0" fontId="109" fillId="0" borderId="64" xfId="0" quotePrefix="1" applyNumberFormat="1" applyFont="1" applyFill="1" applyBorder="1" applyAlignment="1" applyProtection="1">
      <alignment horizontal="left" vertical="center"/>
      <protection hidden="1"/>
    </xf>
    <xf numFmtId="0" fontId="111" fillId="0" borderId="0" xfId="0" applyFont="1" applyFill="1" applyBorder="1" applyAlignment="1" applyProtection="1">
      <alignment horizontal="right" vertical="center"/>
      <protection hidden="1"/>
    </xf>
    <xf numFmtId="0" fontId="110" fillId="0" borderId="0" xfId="0" applyNumberFormat="1" applyFont="1" applyFill="1" applyBorder="1" applyAlignment="1" applyProtection="1">
      <alignment horizontal="center" vertical="center"/>
      <protection hidden="1"/>
    </xf>
    <xf numFmtId="0" fontId="110" fillId="0" borderId="0" xfId="0" applyFont="1" applyFill="1" applyBorder="1" applyAlignment="1" applyProtection="1">
      <alignment horizontal="right" vertical="center"/>
      <protection hidden="1"/>
    </xf>
    <xf numFmtId="0" fontId="60" fillId="0" borderId="0" xfId="0" applyFont="1" applyBorder="1" applyAlignment="1" applyProtection="1">
      <alignment vertical="center"/>
      <protection hidden="1"/>
    </xf>
    <xf numFmtId="0" fontId="60" fillId="0" borderId="0" xfId="0" applyFont="1" applyBorder="1" applyAlignment="1" applyProtection="1">
      <alignment horizontal="center" vertical="center"/>
      <protection hidden="1"/>
    </xf>
    <xf numFmtId="0" fontId="110" fillId="0" borderId="0" xfId="0" applyNumberFormat="1" applyFont="1" applyFill="1" applyBorder="1" applyAlignment="1" applyProtection="1">
      <alignment horizontal="right" vertical="center"/>
      <protection hidden="1"/>
    </xf>
    <xf numFmtId="0" fontId="67" fillId="0" borderId="0" xfId="0" applyFont="1" applyBorder="1" applyAlignment="1" applyProtection="1">
      <alignment vertical="center"/>
      <protection hidden="1"/>
    </xf>
    <xf numFmtId="0" fontId="110" fillId="0" borderId="0" xfId="0" applyFont="1" applyBorder="1" applyAlignment="1" applyProtection="1">
      <alignment horizontal="center" vertical="center"/>
      <protection hidden="1"/>
    </xf>
    <xf numFmtId="0" fontId="110" fillId="0" borderId="17"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left" vertical="center"/>
      <protection hidden="1"/>
    </xf>
    <xf numFmtId="0" fontId="111" fillId="0" borderId="0" xfId="0" quotePrefix="1" applyNumberFormat="1" applyFont="1" applyFill="1" applyBorder="1" applyAlignment="1" applyProtection="1">
      <alignment horizontal="left" vertical="center"/>
      <protection hidden="1"/>
    </xf>
    <xf numFmtId="0" fontId="67" fillId="0" borderId="0" xfId="0" quotePrefix="1"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0" fontId="67" fillId="0" borderId="17" xfId="0" applyFont="1" applyFill="1" applyBorder="1" applyAlignment="1" applyProtection="1">
      <alignment vertical="center"/>
      <protection hidden="1"/>
    </xf>
    <xf numFmtId="178" fontId="56" fillId="0" borderId="0" xfId="0" applyNumberFormat="1" applyFont="1" applyFill="1" applyBorder="1" applyProtection="1">
      <alignment vertical="center"/>
      <protection hidden="1"/>
    </xf>
    <xf numFmtId="0" fontId="59" fillId="0" borderId="64" xfId="0" applyFont="1" applyFill="1" applyBorder="1" applyAlignment="1" applyProtection="1">
      <alignment horizontal="left" vertical="center"/>
      <protection hidden="1"/>
    </xf>
    <xf numFmtId="0" fontId="111" fillId="0" borderId="0" xfId="0" applyFont="1" applyFill="1" applyBorder="1" applyAlignment="1" applyProtection="1">
      <alignment horizontal="left" vertical="center"/>
      <protection hidden="1"/>
    </xf>
    <xf numFmtId="0" fontId="111" fillId="0" borderId="0" xfId="0" applyFont="1" applyBorder="1" applyAlignment="1" applyProtection="1">
      <alignment horizontal="left" vertical="center"/>
      <protection hidden="1"/>
    </xf>
    <xf numFmtId="0" fontId="112" fillId="0" borderId="0" xfId="0" applyFont="1" applyFill="1" applyBorder="1" applyAlignment="1" applyProtection="1">
      <alignment vertical="center"/>
      <protection hidden="1"/>
    </xf>
    <xf numFmtId="0" fontId="59" fillId="0" borderId="56" xfId="0" applyFont="1" applyFill="1" applyBorder="1" applyAlignment="1" applyProtection="1">
      <alignment horizontal="left" vertical="center"/>
      <protection hidden="1"/>
    </xf>
    <xf numFmtId="0" fontId="111" fillId="0" borderId="57" xfId="0" applyFont="1" applyFill="1" applyBorder="1" applyAlignment="1" applyProtection="1">
      <alignment horizontal="right" vertical="center"/>
      <protection hidden="1"/>
    </xf>
    <xf numFmtId="0" fontId="111" fillId="0" borderId="57" xfId="0" applyFont="1" applyFill="1" applyBorder="1" applyAlignment="1" applyProtection="1">
      <alignment horizontal="left" vertical="center"/>
      <protection hidden="1"/>
    </xf>
    <xf numFmtId="0" fontId="59" fillId="0" borderId="57" xfId="0" applyFont="1" applyBorder="1" applyAlignment="1" applyProtection="1">
      <alignment vertical="center"/>
      <protection hidden="1"/>
    </xf>
    <xf numFmtId="0" fontId="60" fillId="0" borderId="57" xfId="0" applyFont="1" applyBorder="1" applyAlignment="1" applyProtection="1">
      <alignment vertical="center"/>
      <protection hidden="1"/>
    </xf>
    <xf numFmtId="0" fontId="112" fillId="0" borderId="57" xfId="0" applyFont="1" applyFill="1" applyBorder="1" applyAlignment="1" applyProtection="1">
      <alignment vertical="center"/>
      <protection hidden="1"/>
    </xf>
    <xf numFmtId="0" fontId="60" fillId="0" borderId="57" xfId="0" applyFont="1" applyBorder="1" applyAlignment="1" applyProtection="1">
      <alignment horizontal="center" vertical="center"/>
      <protection hidden="1"/>
    </xf>
    <xf numFmtId="0" fontId="67" fillId="0" borderId="57" xfId="0" applyFont="1" applyBorder="1" applyAlignment="1" applyProtection="1">
      <alignment vertical="center"/>
      <protection hidden="1"/>
    </xf>
    <xf numFmtId="0" fontId="67" fillId="0" borderId="58" xfId="0" applyFont="1" applyFill="1" applyBorder="1" applyAlignment="1" applyProtection="1">
      <alignment vertical="center"/>
      <protection hidden="1"/>
    </xf>
    <xf numFmtId="0" fontId="59" fillId="0" borderId="0" xfId="0" applyFont="1" applyBorder="1" applyAlignment="1" applyProtection="1">
      <alignment vertical="center"/>
      <protection hidden="1"/>
    </xf>
    <xf numFmtId="0" fontId="112" fillId="0" borderId="0" xfId="0" applyFont="1" applyBorder="1" applyAlignment="1" applyProtection="1">
      <alignment vertical="center"/>
      <protection hidden="1"/>
    </xf>
    <xf numFmtId="0" fontId="67" fillId="0" borderId="0" xfId="0"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right" vertical="center"/>
      <protection hidden="1"/>
    </xf>
    <xf numFmtId="0" fontId="113" fillId="0" borderId="0" xfId="0" quotePrefix="1" applyNumberFormat="1" applyFont="1" applyFill="1" applyBorder="1" applyAlignment="1" applyProtection="1">
      <alignment horizontal="right" vertical="center"/>
      <protection hidden="1"/>
    </xf>
    <xf numFmtId="0" fontId="115" fillId="37" borderId="59" xfId="0" applyNumberFormat="1" applyFont="1" applyFill="1" applyBorder="1" applyAlignment="1" applyProtection="1">
      <alignment vertical="center"/>
      <protection hidden="1"/>
    </xf>
    <xf numFmtId="0" fontId="116" fillId="37" borderId="60" xfId="0" applyFont="1" applyFill="1" applyBorder="1" applyAlignment="1" applyProtection="1">
      <alignment horizontal="left" vertical="center"/>
      <protection hidden="1"/>
    </xf>
    <xf numFmtId="0" fontId="116" fillId="37" borderId="60" xfId="0" applyFont="1" applyFill="1" applyBorder="1" applyAlignment="1" applyProtection="1">
      <alignment vertical="center"/>
      <protection hidden="1"/>
    </xf>
    <xf numFmtId="0" fontId="115" fillId="37" borderId="60" xfId="0" applyNumberFormat="1" applyFont="1" applyFill="1" applyBorder="1" applyAlignment="1" applyProtection="1">
      <alignment vertical="center"/>
      <protection hidden="1"/>
    </xf>
    <xf numFmtId="0" fontId="117" fillId="37" borderId="61" xfId="0" applyFont="1" applyFill="1" applyBorder="1" applyAlignment="1" applyProtection="1">
      <alignment vertical="center"/>
      <protection hidden="1"/>
    </xf>
    <xf numFmtId="0" fontId="28" fillId="0" borderId="0" xfId="0" applyFont="1" applyFill="1" applyProtection="1">
      <alignment vertical="center"/>
      <protection hidden="1"/>
    </xf>
    <xf numFmtId="182" fontId="37" fillId="0" borderId="0" xfId="0" applyNumberFormat="1" applyFont="1" applyFill="1" applyAlignment="1" applyProtection="1">
      <alignment horizontal="left"/>
      <protection hidden="1"/>
    </xf>
    <xf numFmtId="0" fontId="6" fillId="0" borderId="0" xfId="0"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top"/>
      <protection hidden="1"/>
    </xf>
    <xf numFmtId="0" fontId="28" fillId="39" borderId="10" xfId="0" applyFont="1" applyFill="1" applyBorder="1" applyProtection="1">
      <alignment vertical="center"/>
      <protection hidden="1"/>
    </xf>
    <xf numFmtId="0" fontId="37" fillId="0" borderId="0" xfId="0" applyFont="1" applyFill="1" applyBorder="1" applyAlignment="1" applyProtection="1">
      <alignment vertical="top"/>
      <protection hidden="1"/>
    </xf>
    <xf numFmtId="186" fontId="34" fillId="0" borderId="0" xfId="0" applyNumberFormat="1" applyFont="1" applyFill="1" applyBorder="1" applyProtection="1">
      <alignment vertical="center"/>
      <protection hidden="1"/>
    </xf>
    <xf numFmtId="0" fontId="28" fillId="0" borderId="0" xfId="0" applyFont="1" applyFill="1" applyBorder="1" applyAlignment="1" applyProtection="1">
      <alignment horizontal="center" vertical="justify"/>
      <protection hidden="1"/>
    </xf>
    <xf numFmtId="0" fontId="26" fillId="0" borderId="0" xfId="0" applyFont="1" applyFill="1" applyBorder="1" applyAlignment="1" applyProtection="1">
      <alignment horizontal="center" vertical="justify"/>
      <protection hidden="1"/>
    </xf>
    <xf numFmtId="0" fontId="120" fillId="0" borderId="0" xfId="0" applyFont="1" applyFill="1" applyProtection="1">
      <alignment vertical="center"/>
      <protection hidden="1"/>
    </xf>
    <xf numFmtId="0" fontId="121" fillId="0" borderId="0" xfId="0" applyFont="1" applyFill="1" applyAlignment="1" applyProtection="1">
      <alignment horizontal="left"/>
      <protection hidden="1"/>
    </xf>
    <xf numFmtId="0" fontId="122" fillId="0" borderId="0" xfId="0" applyFont="1" applyFill="1" applyProtection="1">
      <alignment vertical="center"/>
      <protection hidden="1"/>
    </xf>
    <xf numFmtId="0" fontId="6" fillId="0" borderId="0" xfId="0" applyFont="1" applyFill="1" applyProtection="1">
      <alignment vertical="center"/>
      <protection hidden="1"/>
    </xf>
    <xf numFmtId="182" fontId="107" fillId="0" borderId="0" xfId="0" applyNumberFormat="1" applyFont="1" applyFill="1" applyAlignment="1" applyProtection="1">
      <alignment horizontal="left"/>
      <protection hidden="1"/>
    </xf>
    <xf numFmtId="0" fontId="23" fillId="0" borderId="0" xfId="0" applyFont="1" applyFill="1" applyProtection="1">
      <alignment vertical="center"/>
      <protection hidden="1"/>
    </xf>
    <xf numFmtId="0" fontId="85" fillId="37" borderId="69" xfId="0" applyFont="1" applyFill="1" applyBorder="1" applyAlignment="1" applyProtection="1">
      <alignment horizontal="left" vertical="center"/>
      <protection hidden="1"/>
    </xf>
    <xf numFmtId="0" fontId="123" fillId="37" borderId="69" xfId="0" applyFont="1" applyFill="1" applyBorder="1" applyAlignment="1" applyProtection="1">
      <alignment vertical="center"/>
      <protection hidden="1"/>
    </xf>
    <xf numFmtId="182" fontId="37" fillId="37" borderId="69" xfId="0" applyNumberFormat="1" applyFont="1" applyFill="1" applyBorder="1" applyAlignment="1" applyProtection="1">
      <alignment horizontal="left" vertical="center"/>
      <protection hidden="1"/>
    </xf>
    <xf numFmtId="182" fontId="37" fillId="37" borderId="60" xfId="0" applyNumberFormat="1" applyFont="1" applyFill="1" applyBorder="1" applyAlignment="1" applyProtection="1">
      <alignment horizontal="left" vertical="center"/>
      <protection hidden="1"/>
    </xf>
    <xf numFmtId="185" fontId="31" fillId="37" borderId="71" xfId="0" applyNumberFormat="1" applyFont="1" applyFill="1" applyBorder="1" applyAlignment="1" applyProtection="1">
      <alignment vertical="center"/>
      <protection hidden="1"/>
    </xf>
    <xf numFmtId="187" fontId="53" fillId="0" borderId="0" xfId="0" applyNumberFormat="1" applyFont="1" applyFill="1" applyAlignment="1" applyProtection="1">
      <alignment horizontal="center"/>
      <protection hidden="1"/>
    </xf>
    <xf numFmtId="0" fontId="26" fillId="0" borderId="26" xfId="0" applyFont="1" applyFill="1" applyBorder="1" applyAlignment="1" applyProtection="1">
      <alignment horizontal="center" vertical="justify"/>
      <protection hidden="1"/>
    </xf>
    <xf numFmtId="0" fontId="29" fillId="0" borderId="0" xfId="0" applyFont="1" applyFill="1" applyProtection="1">
      <alignment vertical="center"/>
      <protection hidden="1"/>
    </xf>
    <xf numFmtId="0" fontId="23" fillId="27" borderId="59" xfId="0" applyNumberFormat="1" applyFont="1" applyFill="1" applyBorder="1" applyAlignment="1" applyProtection="1">
      <alignment vertical="center"/>
      <protection hidden="1"/>
    </xf>
    <xf numFmtId="0" fontId="85" fillId="27" borderId="60" xfId="0" applyFont="1" applyFill="1" applyBorder="1" applyAlignment="1" applyProtection="1">
      <alignment horizontal="left" vertical="center"/>
      <protection hidden="1"/>
    </xf>
    <xf numFmtId="0" fontId="118" fillId="27" borderId="60" xfId="0" applyFont="1" applyFill="1" applyBorder="1" applyAlignment="1" applyProtection="1">
      <alignment vertical="center"/>
      <protection hidden="1"/>
    </xf>
    <xf numFmtId="0" fontId="119" fillId="27" borderId="60" xfId="0" applyFont="1" applyFill="1" applyBorder="1" applyAlignment="1" applyProtection="1">
      <alignment vertical="center"/>
      <protection hidden="1"/>
    </xf>
    <xf numFmtId="0" fontId="119" fillId="27" borderId="61" xfId="0" applyFont="1" applyFill="1" applyBorder="1" applyAlignment="1" applyProtection="1">
      <alignment vertical="center"/>
      <protection hidden="1"/>
    </xf>
    <xf numFmtId="182" fontId="23" fillId="27" borderId="59" xfId="0" applyNumberFormat="1" applyFont="1" applyFill="1" applyBorder="1" applyAlignment="1" applyProtection="1">
      <alignment horizontal="centerContinuous" vertical="center"/>
      <protection hidden="1"/>
    </xf>
    <xf numFmtId="182" fontId="23" fillId="27" borderId="60" xfId="0" applyNumberFormat="1" applyFont="1" applyFill="1" applyBorder="1" applyAlignment="1" applyProtection="1">
      <alignment horizontal="centerContinuous" vertical="center"/>
      <protection hidden="1"/>
    </xf>
    <xf numFmtId="0" fontId="28" fillId="27" borderId="26" xfId="0" applyFont="1" applyFill="1" applyBorder="1" applyAlignment="1" applyProtection="1">
      <alignment horizontal="centerContinuous" vertical="center"/>
      <protection hidden="1"/>
    </xf>
    <xf numFmtId="0" fontId="6" fillId="27" borderId="50" xfId="0" applyFont="1" applyFill="1" applyBorder="1" applyAlignment="1" applyProtection="1">
      <alignment horizontal="centerContinuous" vertical="center"/>
      <protection hidden="1"/>
    </xf>
    <xf numFmtId="0" fontId="6" fillId="27" borderId="92" xfId="0" applyFont="1" applyFill="1" applyBorder="1" applyAlignment="1" applyProtection="1">
      <alignment horizontal="center" vertical="distributed"/>
      <protection hidden="1"/>
    </xf>
    <xf numFmtId="0" fontId="28" fillId="0" borderId="26" xfId="0" applyFont="1" applyFill="1" applyBorder="1" applyProtection="1">
      <alignment vertical="center"/>
      <protection hidden="1"/>
    </xf>
    <xf numFmtId="0" fontId="26" fillId="0" borderId="27" xfId="0" applyFont="1" applyFill="1" applyBorder="1" applyAlignment="1" applyProtection="1">
      <alignment horizontal="center" vertical="justify"/>
      <protection hidden="1"/>
    </xf>
    <xf numFmtId="0" fontId="28" fillId="0" borderId="50" xfId="0" applyFont="1" applyFill="1" applyBorder="1" applyProtection="1">
      <alignment vertical="center"/>
      <protection hidden="1"/>
    </xf>
    <xf numFmtId="0" fontId="29" fillId="0" borderId="10" xfId="0" applyFont="1" applyFill="1" applyBorder="1" applyProtection="1">
      <alignment vertical="center"/>
      <protection hidden="1"/>
    </xf>
    <xf numFmtId="182" fontId="23" fillId="27" borderId="77" xfId="0" applyNumberFormat="1" applyFont="1" applyFill="1" applyBorder="1" applyAlignment="1" applyProtection="1">
      <alignment horizontal="centerContinuous" vertical="top"/>
      <protection hidden="1"/>
    </xf>
    <xf numFmtId="182" fontId="23" fillId="27" borderId="57" xfId="0" applyNumberFormat="1" applyFont="1" applyFill="1" applyBorder="1" applyAlignment="1" applyProtection="1">
      <alignment horizontal="centerContinuous" vertical="top"/>
      <protection hidden="1"/>
    </xf>
    <xf numFmtId="182" fontId="23" fillId="27" borderId="58" xfId="0" applyNumberFormat="1" applyFont="1" applyFill="1" applyBorder="1" applyAlignment="1" applyProtection="1">
      <alignment horizontal="centerContinuous" vertical="top"/>
      <protection hidden="1"/>
    </xf>
    <xf numFmtId="185" fontId="26" fillId="27" borderId="93" xfId="0" applyNumberFormat="1" applyFont="1" applyFill="1" applyBorder="1" applyAlignment="1" applyProtection="1">
      <alignment horizontal="center" vertical="center" wrapText="1"/>
      <protection hidden="1"/>
    </xf>
    <xf numFmtId="185" fontId="85" fillId="27" borderId="94" xfId="0" applyNumberFormat="1" applyFont="1" applyFill="1" applyBorder="1" applyAlignment="1" applyProtection="1">
      <alignment horizontal="center" vertical="center" wrapText="1"/>
      <protection hidden="1"/>
    </xf>
    <xf numFmtId="185" fontId="26" fillId="27" borderId="57" xfId="0" applyNumberFormat="1" applyFont="1" applyFill="1" applyBorder="1" applyAlignment="1" applyProtection="1">
      <alignment horizontal="center" vertical="center" wrapText="1"/>
      <protection hidden="1"/>
    </xf>
    <xf numFmtId="185" fontId="85" fillId="27" borderId="95" xfId="0" applyNumberFormat="1" applyFont="1" applyFill="1" applyBorder="1" applyAlignment="1" applyProtection="1">
      <alignment horizontal="center" vertical="center" wrapText="1"/>
      <protection hidden="1"/>
    </xf>
    <xf numFmtId="185" fontId="15" fillId="27" borderId="96" xfId="0" applyNumberFormat="1" applyFont="1" applyFill="1" applyBorder="1" applyAlignment="1" applyProtection="1">
      <alignment horizontal="center" vertical="top" wrapText="1"/>
      <protection hidden="1"/>
    </xf>
    <xf numFmtId="0" fontId="28" fillId="27" borderId="10" xfId="0" applyFont="1" applyFill="1" applyBorder="1" applyAlignment="1" applyProtection="1">
      <alignment horizontal="center" vertical="center" shrinkToFit="1"/>
      <protection hidden="1"/>
    </xf>
    <xf numFmtId="187" fontId="39" fillId="40" borderId="55" xfId="0" applyNumberFormat="1" applyFont="1" applyFill="1" applyBorder="1" applyAlignment="1" applyProtection="1">
      <alignment horizontal="left" vertical="center" wrapText="1"/>
      <protection hidden="1"/>
    </xf>
    <xf numFmtId="0" fontId="28" fillId="0" borderId="55" xfId="0" applyFont="1" applyFill="1" applyBorder="1" applyAlignment="1" applyProtection="1">
      <alignment horizontal="center" vertical="justify"/>
      <protection hidden="1"/>
    </xf>
    <xf numFmtId="0" fontId="28" fillId="0" borderId="10" xfId="0" applyFont="1" applyFill="1" applyBorder="1" applyAlignment="1" applyProtection="1">
      <alignment horizontal="center" vertical="justify"/>
      <protection hidden="1"/>
    </xf>
    <xf numFmtId="182" fontId="37" fillId="33" borderId="97" xfId="0" applyNumberFormat="1" applyFont="1" applyFill="1" applyBorder="1" applyAlignment="1" applyProtection="1">
      <alignment horizontal="left"/>
      <protection hidden="1"/>
    </xf>
    <xf numFmtId="198" fontId="102" fillId="33" borderId="98" xfId="0" applyNumberFormat="1" applyFont="1" applyFill="1" applyBorder="1" applyAlignment="1" applyProtection="1">
      <alignment horizontal="center" vertical="center"/>
      <protection hidden="1"/>
    </xf>
    <xf numFmtId="185" fontId="29" fillId="33" borderId="0" xfId="0" applyNumberFormat="1" applyFont="1" applyFill="1" applyBorder="1" applyAlignment="1" applyProtection="1">
      <alignment horizontal="center" vertical="center"/>
      <protection hidden="1"/>
    </xf>
    <xf numFmtId="198" fontId="102" fillId="33" borderId="99" xfId="0" applyNumberFormat="1" applyFont="1" applyFill="1" applyBorder="1" applyAlignment="1" applyProtection="1">
      <alignment horizontal="center" vertical="center"/>
      <protection hidden="1"/>
    </xf>
    <xf numFmtId="185" fontId="64" fillId="33" borderId="100" xfId="0" applyNumberFormat="1" applyFont="1" applyFill="1" applyBorder="1" applyAlignment="1" applyProtection="1">
      <alignment horizontal="center" vertical="center"/>
      <protection hidden="1"/>
    </xf>
    <xf numFmtId="0" fontId="53" fillId="0" borderId="10" xfId="0" applyNumberFormat="1" applyFont="1" applyFill="1" applyBorder="1" applyAlignment="1" applyProtection="1">
      <alignment horizontal="center" vertical="center" wrapText="1"/>
      <protection hidden="1"/>
    </xf>
    <xf numFmtId="0" fontId="26" fillId="0" borderId="10" xfId="0" applyNumberFormat="1" applyFont="1" applyFill="1" applyBorder="1" applyAlignment="1" applyProtection="1">
      <alignment horizontal="center" vertical="justify"/>
      <protection hidden="1"/>
    </xf>
    <xf numFmtId="0" fontId="23" fillId="31" borderId="101" xfId="0" applyFont="1" applyFill="1" applyBorder="1" applyAlignment="1" applyProtection="1">
      <alignment vertical="center"/>
      <protection hidden="1"/>
    </xf>
    <xf numFmtId="0" fontId="23" fillId="31" borderId="102" xfId="0" applyNumberFormat="1" applyFont="1" applyFill="1" applyBorder="1" applyAlignment="1" applyProtection="1">
      <alignment horizontal="left" vertical="center"/>
      <protection hidden="1"/>
    </xf>
    <xf numFmtId="0" fontId="33" fillId="31" borderId="103" xfId="0" applyNumberFormat="1" applyFont="1" applyFill="1" applyBorder="1" applyAlignment="1" applyProtection="1">
      <alignment horizontal="left" vertical="center"/>
      <protection hidden="1"/>
    </xf>
    <xf numFmtId="182" fontId="37" fillId="31" borderId="105" xfId="0" applyNumberFormat="1" applyFont="1" applyFill="1" applyBorder="1" applyAlignment="1" applyProtection="1">
      <alignment horizontal="left"/>
      <protection hidden="1"/>
    </xf>
    <xf numFmtId="198" fontId="126" fillId="31" borderId="106" xfId="0" applyNumberFormat="1" applyFont="1" applyFill="1" applyBorder="1" applyAlignment="1" applyProtection="1">
      <alignment horizontal="center" vertical="center"/>
      <protection hidden="1"/>
    </xf>
    <xf numFmtId="185" fontId="127" fillId="31" borderId="102" xfId="0" applyNumberFormat="1" applyFont="1" applyFill="1" applyBorder="1" applyAlignment="1" applyProtection="1">
      <alignment horizontal="center" vertical="center"/>
      <protection hidden="1"/>
    </xf>
    <xf numFmtId="198" fontId="126" fillId="31" borderId="107" xfId="0" applyNumberFormat="1" applyFont="1" applyFill="1" applyBorder="1" applyAlignment="1" applyProtection="1">
      <alignment horizontal="center" vertical="center"/>
      <protection hidden="1"/>
    </xf>
    <xf numFmtId="185" fontId="127" fillId="31" borderId="108" xfId="0" applyNumberFormat="1" applyFont="1" applyFill="1" applyBorder="1" applyAlignment="1" applyProtection="1">
      <alignment horizontal="center" vertical="center"/>
      <protection hidden="1"/>
    </xf>
    <xf numFmtId="0" fontId="126" fillId="0" borderId="10" xfId="0" applyNumberFormat="1" applyFont="1" applyFill="1" applyBorder="1" applyAlignment="1" applyProtection="1">
      <alignment horizontal="center" vertical="center"/>
      <protection hidden="1"/>
    </xf>
    <xf numFmtId="0" fontId="29" fillId="0" borderId="51" xfId="0" applyFont="1" applyFill="1" applyBorder="1" applyProtection="1">
      <alignment vertical="center"/>
      <protection hidden="1"/>
    </xf>
    <xf numFmtId="0" fontId="23" fillId="27" borderId="62" xfId="0" quotePrefix="1" applyFont="1" applyFill="1" applyBorder="1" applyAlignment="1" applyProtection="1">
      <alignment vertical="center"/>
      <protection hidden="1"/>
    </xf>
    <xf numFmtId="0" fontId="125" fillId="27" borderId="109" xfId="0" applyNumberFormat="1" applyFont="1" applyFill="1" applyBorder="1" applyAlignment="1" applyProtection="1">
      <alignment horizontal="left" vertical="center"/>
      <protection hidden="1"/>
    </xf>
    <xf numFmtId="0" fontId="125" fillId="27" borderId="0" xfId="0" applyNumberFormat="1" applyFont="1" applyFill="1" applyBorder="1" applyAlignment="1" applyProtection="1">
      <alignment horizontal="left" vertical="center"/>
      <protection hidden="1"/>
    </xf>
    <xf numFmtId="0" fontId="125" fillId="27" borderId="0" xfId="0" applyNumberFormat="1" applyFont="1" applyFill="1" applyBorder="1" applyAlignment="1" applyProtection="1">
      <alignment vertical="center"/>
      <protection hidden="1"/>
    </xf>
    <xf numFmtId="0" fontId="128" fillId="27" borderId="63" xfId="0" applyFont="1" applyFill="1" applyBorder="1" applyAlignment="1" applyProtection="1">
      <alignment vertical="center"/>
      <protection hidden="1"/>
    </xf>
    <xf numFmtId="185" fontId="36" fillId="27" borderId="110" xfId="0" applyNumberFormat="1" applyFont="1" applyFill="1" applyBorder="1" applyAlignment="1" applyProtection="1">
      <alignment horizontal="center" vertical="center"/>
      <protection hidden="1"/>
    </xf>
    <xf numFmtId="198" fontId="129" fillId="27" borderId="98" xfId="0" applyNumberFormat="1" applyFont="1" applyFill="1" applyBorder="1" applyAlignment="1" applyProtection="1">
      <alignment horizontal="center" vertical="center"/>
      <protection hidden="1"/>
    </xf>
    <xf numFmtId="198" fontId="129" fillId="27" borderId="99" xfId="0" applyNumberFormat="1" applyFont="1" applyFill="1" applyBorder="1" applyAlignment="1" applyProtection="1">
      <alignment horizontal="center" vertical="center"/>
      <protection hidden="1"/>
    </xf>
    <xf numFmtId="185" fontId="126" fillId="27" borderId="100" xfId="0" applyNumberFormat="1" applyFont="1" applyFill="1" applyBorder="1" applyAlignment="1" applyProtection="1">
      <alignment horizontal="center" vertical="center"/>
      <protection hidden="1"/>
    </xf>
    <xf numFmtId="0" fontId="36" fillId="27" borderId="10" xfId="0" applyNumberFormat="1" applyFont="1" applyFill="1" applyBorder="1" applyAlignment="1" applyProtection="1">
      <alignment horizontal="center" vertical="center"/>
      <protection hidden="1"/>
    </xf>
    <xf numFmtId="0" fontId="129" fillId="0" borderId="10" xfId="0" applyNumberFormat="1" applyFont="1" applyFill="1" applyBorder="1" applyAlignment="1" applyProtection="1">
      <alignment horizontal="center" vertical="center"/>
      <protection hidden="1"/>
    </xf>
    <xf numFmtId="0" fontId="29" fillId="41" borderId="10" xfId="0" applyFont="1" applyFill="1" applyBorder="1" applyAlignment="1" applyProtection="1">
      <alignment horizontal="center" vertical="center"/>
      <protection hidden="1"/>
    </xf>
    <xf numFmtId="0" fontId="29" fillId="41" borderId="10" xfId="0" applyFont="1" applyFill="1" applyBorder="1" applyProtection="1">
      <alignment vertical="center"/>
      <protection hidden="1"/>
    </xf>
    <xf numFmtId="0" fontId="125" fillId="27" borderId="62" xfId="0" applyFont="1" applyFill="1" applyBorder="1" applyAlignment="1" applyProtection="1">
      <alignment horizontal="center"/>
      <protection hidden="1"/>
    </xf>
    <xf numFmtId="0" fontId="23" fillId="27" borderId="52" xfId="0" applyFont="1" applyFill="1" applyBorder="1" applyAlignment="1" applyProtection="1">
      <alignment vertical="center"/>
      <protection hidden="1"/>
    </xf>
    <xf numFmtId="0" fontId="33" fillId="27" borderId="53" xfId="0" applyFont="1" applyFill="1" applyBorder="1" applyAlignment="1" applyProtection="1">
      <alignment vertical="center"/>
      <protection hidden="1"/>
    </xf>
    <xf numFmtId="0" fontId="33" fillId="27" borderId="50" xfId="0" applyFont="1" applyFill="1" applyBorder="1" applyAlignment="1" applyProtection="1">
      <alignment vertical="center"/>
      <protection hidden="1"/>
    </xf>
    <xf numFmtId="0" fontId="33" fillId="27" borderId="82" xfId="0" applyFont="1" applyFill="1" applyBorder="1" applyAlignment="1" applyProtection="1">
      <alignment vertical="center"/>
      <protection hidden="1"/>
    </xf>
    <xf numFmtId="185" fontId="36" fillId="27" borderId="111" xfId="0" applyNumberFormat="1" applyFont="1" applyFill="1" applyBorder="1" applyAlignment="1" applyProtection="1">
      <alignment horizontal="center" vertical="center"/>
      <protection hidden="1"/>
    </xf>
    <xf numFmtId="198" fontId="129" fillId="27" borderId="53" xfId="0" applyNumberFormat="1" applyFont="1" applyFill="1" applyBorder="1" applyAlignment="1" applyProtection="1">
      <alignment horizontal="center" vertical="center"/>
      <protection hidden="1"/>
    </xf>
    <xf numFmtId="185" fontId="126" fillId="27" borderId="112" xfId="0" applyNumberFormat="1" applyFont="1" applyFill="1" applyBorder="1" applyAlignment="1" applyProtection="1">
      <alignment horizontal="center" vertical="center"/>
      <protection hidden="1"/>
    </xf>
    <xf numFmtId="0" fontId="130" fillId="27" borderId="64" xfId="29" applyFont="1" applyFill="1" applyBorder="1" applyAlignment="1" applyProtection="1">
      <alignment horizontal="center" vertical="center"/>
      <protection hidden="1"/>
    </xf>
    <xf numFmtId="0" fontId="33" fillId="27" borderId="10" xfId="0" applyFont="1" applyFill="1" applyBorder="1" applyAlignment="1" applyProtection="1">
      <alignment horizontal="center" vertical="center"/>
      <protection hidden="1"/>
    </xf>
    <xf numFmtId="0" fontId="33" fillId="27" borderId="57" xfId="0" applyFont="1" applyFill="1" applyBorder="1" applyAlignment="1" applyProtection="1">
      <alignment vertical="center"/>
      <protection hidden="1"/>
    </xf>
    <xf numFmtId="0" fontId="33" fillId="27" borderId="79" xfId="0" applyFont="1" applyFill="1" applyBorder="1" applyAlignment="1" applyProtection="1">
      <alignment vertical="center"/>
      <protection hidden="1"/>
    </xf>
    <xf numFmtId="185" fontId="29" fillId="0" borderId="92" xfId="0" applyNumberFormat="1" applyFont="1" applyFill="1" applyBorder="1" applyAlignment="1" applyProtection="1">
      <alignment horizontal="center" vertical="center"/>
      <protection hidden="1"/>
    </xf>
    <xf numFmtId="198" fontId="129" fillId="27" borderId="0" xfId="0" applyNumberFormat="1" applyFont="1" applyFill="1" applyBorder="1" applyAlignment="1" applyProtection="1">
      <alignment horizontal="center" vertical="center"/>
      <protection hidden="1"/>
    </xf>
    <xf numFmtId="177" fontId="29" fillId="0" borderId="113" xfId="0" applyNumberFormat="1" applyFont="1" applyFill="1" applyBorder="1" applyAlignment="1" applyProtection="1">
      <alignment horizontal="center" vertical="center"/>
      <protection hidden="1"/>
    </xf>
    <xf numFmtId="177" fontId="29" fillId="0" borderId="114" xfId="0" applyNumberFormat="1" applyFont="1" applyFill="1" applyBorder="1" applyAlignment="1" applyProtection="1">
      <alignment horizontal="center" vertical="center"/>
      <protection hidden="1"/>
    </xf>
    <xf numFmtId="177" fontId="53" fillId="40" borderId="10" xfId="0" applyNumberFormat="1" applyFont="1" applyFill="1" applyBorder="1" applyAlignment="1" applyProtection="1">
      <alignment horizontal="center" vertical="center"/>
      <protection hidden="1"/>
    </xf>
    <xf numFmtId="0" fontId="130" fillId="27" borderId="56" xfId="29" applyFont="1" applyFill="1" applyBorder="1" applyAlignment="1" applyProtection="1">
      <alignment horizontal="center" vertical="center"/>
      <protection hidden="1"/>
    </xf>
    <xf numFmtId="0" fontId="33" fillId="27" borderId="26" xfId="0" applyFont="1" applyFill="1" applyBorder="1" applyAlignment="1" applyProtection="1">
      <alignment vertical="center"/>
      <protection hidden="1"/>
    </xf>
    <xf numFmtId="185" fontId="29" fillId="0" borderId="115" xfId="0" applyNumberFormat="1" applyFont="1" applyFill="1" applyBorder="1" applyAlignment="1" applyProtection="1">
      <alignment horizontal="center" vertical="center"/>
      <protection hidden="1"/>
    </xf>
    <xf numFmtId="177" fontId="29" fillId="0" borderId="116" xfId="0" applyNumberFormat="1" applyFont="1" applyFill="1" applyBorder="1" applyAlignment="1" applyProtection="1">
      <alignment horizontal="center" vertical="center"/>
      <protection hidden="1"/>
    </xf>
    <xf numFmtId="177" fontId="29" fillId="0" borderId="117" xfId="0" applyNumberFormat="1" applyFont="1" applyFill="1" applyBorder="1" applyAlignment="1" applyProtection="1">
      <alignment horizontal="center" vertical="center"/>
      <protection hidden="1"/>
    </xf>
    <xf numFmtId="0" fontId="23" fillId="27" borderId="64" xfId="0" applyFont="1" applyFill="1" applyBorder="1" applyAlignment="1" applyProtection="1">
      <alignment vertical="center"/>
      <protection hidden="1"/>
    </xf>
    <xf numFmtId="0" fontId="33" fillId="27" borderId="0" xfId="0" applyFont="1" applyFill="1" applyBorder="1" applyAlignment="1" applyProtection="1">
      <alignment vertical="center"/>
      <protection hidden="1"/>
    </xf>
    <xf numFmtId="0" fontId="33" fillId="27" borderId="63" xfId="0" applyFont="1" applyFill="1" applyBorder="1" applyAlignment="1" applyProtection="1">
      <alignment vertical="center"/>
      <protection hidden="1"/>
    </xf>
    <xf numFmtId="0" fontId="28" fillId="0" borderId="69" xfId="0" applyFont="1" applyFill="1" applyBorder="1" applyAlignment="1" applyProtection="1">
      <alignment horizontal="center" vertical="justify"/>
      <protection hidden="1"/>
    </xf>
    <xf numFmtId="185" fontId="29" fillId="0" borderId="100" xfId="0" applyNumberFormat="1" applyFont="1" applyFill="1" applyBorder="1" applyAlignment="1" applyProtection="1">
      <alignment horizontal="center" vertical="center"/>
      <protection hidden="1"/>
    </xf>
    <xf numFmtId="177" fontId="29" fillId="0" borderId="118" xfId="0" applyNumberFormat="1" applyFont="1" applyFill="1" applyBorder="1" applyAlignment="1" applyProtection="1">
      <alignment horizontal="center" vertical="center"/>
      <protection hidden="1"/>
    </xf>
    <xf numFmtId="177" fontId="29" fillId="0" borderId="119" xfId="0" applyNumberFormat="1" applyFont="1" applyFill="1" applyBorder="1" applyAlignment="1" applyProtection="1">
      <alignment horizontal="center" vertical="center"/>
      <protection hidden="1"/>
    </xf>
    <xf numFmtId="0" fontId="125" fillId="27" borderId="120" xfId="0" applyFont="1" applyFill="1" applyBorder="1" applyAlignment="1" applyProtection="1">
      <alignment horizontal="center"/>
      <protection hidden="1"/>
    </xf>
    <xf numFmtId="0" fontId="23" fillId="27" borderId="26" xfId="0" applyFont="1" applyFill="1" applyBorder="1" applyAlignment="1" applyProtection="1">
      <alignment vertical="center"/>
      <protection hidden="1"/>
    </xf>
    <xf numFmtId="185" fontId="36" fillId="0" borderId="115" xfId="0" applyNumberFormat="1" applyFont="1" applyFill="1" applyBorder="1" applyAlignment="1" applyProtection="1">
      <alignment horizontal="center" vertical="center"/>
      <protection hidden="1"/>
    </xf>
    <xf numFmtId="0" fontId="125" fillId="27" borderId="50" xfId="0" applyNumberFormat="1" applyFont="1" applyFill="1" applyBorder="1" applyAlignment="1" applyProtection="1">
      <alignment horizontal="left" vertical="center"/>
      <protection hidden="1"/>
    </xf>
    <xf numFmtId="0" fontId="128" fillId="27" borderId="0" xfId="0" applyFont="1" applyFill="1" applyBorder="1" applyAlignment="1" applyProtection="1">
      <alignment vertical="center"/>
      <protection hidden="1"/>
    </xf>
    <xf numFmtId="185" fontId="36" fillId="27" borderId="93" xfId="0" applyNumberFormat="1" applyFont="1" applyFill="1" applyBorder="1" applyAlignment="1" applyProtection="1">
      <alignment horizontal="center" vertical="center"/>
      <protection hidden="1"/>
    </xf>
    <xf numFmtId="198" fontId="129" fillId="27" borderId="121" xfId="0" applyNumberFormat="1" applyFont="1" applyFill="1" applyBorder="1" applyAlignment="1" applyProtection="1">
      <alignment horizontal="center" vertical="center"/>
      <protection hidden="1"/>
    </xf>
    <xf numFmtId="198" fontId="129" fillId="27" borderId="122" xfId="0" applyNumberFormat="1" applyFont="1" applyFill="1" applyBorder="1" applyAlignment="1" applyProtection="1">
      <alignment horizontal="center" vertical="center"/>
      <protection hidden="1"/>
    </xf>
    <xf numFmtId="185" fontId="126" fillId="27" borderId="123" xfId="0" applyNumberFormat="1" applyFont="1" applyFill="1" applyBorder="1" applyAlignment="1" applyProtection="1">
      <alignment horizontal="center" vertical="center"/>
      <protection hidden="1"/>
    </xf>
    <xf numFmtId="0" fontId="33" fillId="27" borderId="53" xfId="0" applyNumberFormat="1" applyFont="1" applyFill="1" applyBorder="1" applyAlignment="1" applyProtection="1">
      <alignment horizontal="left" vertical="center"/>
      <protection hidden="1"/>
    </xf>
    <xf numFmtId="0" fontId="128" fillId="27" borderId="53" xfId="0" applyFont="1" applyFill="1" applyBorder="1" applyAlignment="1" applyProtection="1">
      <alignment vertical="center"/>
      <protection hidden="1"/>
    </xf>
    <xf numFmtId="0" fontId="128" fillId="27" borderId="90" xfId="0" applyFont="1" applyFill="1" applyBorder="1" applyAlignment="1" applyProtection="1">
      <alignment vertical="center"/>
      <protection hidden="1"/>
    </xf>
    <xf numFmtId="198" fontId="129" fillId="27" borderId="124" xfId="0" applyNumberFormat="1" applyFont="1" applyFill="1" applyBorder="1" applyAlignment="1" applyProtection="1">
      <alignment horizontal="center" vertical="center"/>
      <protection hidden="1"/>
    </xf>
    <xf numFmtId="185" fontId="36" fillId="27" borderId="53" xfId="0" applyNumberFormat="1" applyFont="1" applyFill="1" applyBorder="1" applyAlignment="1" applyProtection="1">
      <alignment horizontal="center" vertical="center"/>
      <protection hidden="1"/>
    </xf>
    <xf numFmtId="198" fontId="129" fillId="27" borderId="125" xfId="0" applyNumberFormat="1" applyFont="1" applyFill="1" applyBorder="1" applyAlignment="1" applyProtection="1">
      <alignment horizontal="center" vertical="center"/>
      <protection hidden="1"/>
    </xf>
    <xf numFmtId="0" fontId="130" fillId="27" borderId="64" xfId="29" applyNumberFormat="1" applyFont="1" applyFill="1" applyBorder="1" applyAlignment="1" applyProtection="1">
      <alignment horizontal="center" vertical="center"/>
      <protection hidden="1"/>
    </xf>
    <xf numFmtId="0" fontId="128" fillId="27" borderId="82" xfId="0" applyFont="1" applyFill="1" applyBorder="1" applyAlignment="1" applyProtection="1">
      <alignment vertical="center"/>
      <protection hidden="1"/>
    </xf>
    <xf numFmtId="0" fontId="128" fillId="27" borderId="50" xfId="0" applyFont="1" applyFill="1" applyBorder="1" applyAlignment="1" applyProtection="1">
      <alignment vertical="center"/>
      <protection hidden="1"/>
    </xf>
    <xf numFmtId="185" fontId="36" fillId="0" borderId="100" xfId="0" applyNumberFormat="1" applyFont="1" applyFill="1" applyBorder="1" applyAlignment="1" applyProtection="1">
      <alignment horizontal="center" vertical="center"/>
      <protection hidden="1"/>
    </xf>
    <xf numFmtId="0" fontId="132" fillId="27" borderId="64" xfId="29" applyFont="1" applyFill="1" applyBorder="1" applyAlignment="1" applyProtection="1">
      <alignment horizontal="center" vertical="center"/>
      <protection hidden="1"/>
    </xf>
    <xf numFmtId="0" fontId="133" fillId="0" borderId="0" xfId="0" applyFont="1" applyFill="1" applyBorder="1" applyAlignment="1" applyProtection="1">
      <alignment horizontal="center" vertical="justify"/>
      <protection hidden="1"/>
    </xf>
    <xf numFmtId="0" fontId="53" fillId="0" borderId="10" xfId="0" applyNumberFormat="1" applyFont="1" applyBorder="1" applyAlignment="1" applyProtection="1">
      <alignment horizontal="center" vertical="center"/>
      <protection hidden="1"/>
    </xf>
    <xf numFmtId="0" fontId="131" fillId="27" borderId="120" xfId="0" applyNumberFormat="1" applyFont="1" applyFill="1" applyBorder="1" applyAlignment="1" applyProtection="1">
      <alignment horizontal="center" vertical="center"/>
      <protection hidden="1"/>
    </xf>
    <xf numFmtId="0" fontId="132" fillId="27" borderId="56" xfId="29" applyFont="1" applyFill="1" applyBorder="1" applyAlignment="1" applyProtection="1">
      <alignment horizontal="center" vertical="center"/>
      <protection hidden="1"/>
    </xf>
    <xf numFmtId="0" fontId="130" fillId="27" borderId="56" xfId="29" applyNumberFormat="1" applyFont="1" applyFill="1" applyBorder="1" applyAlignment="1" applyProtection="1">
      <alignment horizontal="center" vertical="center"/>
      <protection hidden="1"/>
    </xf>
    <xf numFmtId="0" fontId="125" fillId="27" borderId="62" xfId="0" quotePrefix="1" applyNumberFormat="1" applyFont="1" applyFill="1" applyBorder="1" applyAlignment="1" applyProtection="1">
      <alignment horizontal="center" vertical="center"/>
      <protection hidden="1"/>
    </xf>
    <xf numFmtId="185" fontId="36" fillId="27" borderId="97" xfId="0" applyNumberFormat="1" applyFont="1" applyFill="1" applyBorder="1" applyAlignment="1" applyProtection="1">
      <alignment horizontal="center" vertical="center"/>
      <protection hidden="1"/>
    </xf>
    <xf numFmtId="185" fontId="36" fillId="27" borderId="0" xfId="0" applyNumberFormat="1" applyFont="1" applyFill="1" applyBorder="1" applyAlignment="1" applyProtection="1">
      <alignment horizontal="center" vertical="center"/>
      <protection hidden="1"/>
    </xf>
    <xf numFmtId="0" fontId="33" fillId="42" borderId="10" xfId="0" applyFont="1" applyFill="1" applyBorder="1" applyAlignment="1" applyProtection="1">
      <alignment horizontal="center" vertical="center"/>
      <protection hidden="1"/>
    </xf>
    <xf numFmtId="0" fontId="33" fillId="42" borderId="50" xfId="0" applyFont="1" applyFill="1" applyBorder="1" applyAlignment="1" applyProtection="1">
      <alignment vertical="center"/>
      <protection hidden="1"/>
    </xf>
    <xf numFmtId="0" fontId="128" fillId="42" borderId="82" xfId="0" applyFont="1" applyFill="1" applyBorder="1" applyAlignment="1" applyProtection="1">
      <alignment vertical="center"/>
      <protection hidden="1"/>
    </xf>
    <xf numFmtId="0" fontId="125" fillId="27" borderId="62" xfId="0" applyNumberFormat="1" applyFont="1" applyFill="1" applyBorder="1" applyAlignment="1" applyProtection="1">
      <alignment horizontal="center" vertical="center"/>
      <protection hidden="1"/>
    </xf>
    <xf numFmtId="0" fontId="33" fillId="27" borderId="90" xfId="0" applyNumberFormat="1" applyFont="1" applyFill="1" applyBorder="1" applyAlignment="1" applyProtection="1">
      <alignment horizontal="left" vertical="center"/>
      <protection hidden="1"/>
    </xf>
    <xf numFmtId="0" fontId="125" fillId="27" borderId="77" xfId="0" applyNumberFormat="1" applyFont="1" applyFill="1" applyBorder="1" applyAlignment="1" applyProtection="1">
      <alignment horizontal="center" vertical="center"/>
      <protection hidden="1"/>
    </xf>
    <xf numFmtId="0" fontId="128" fillId="27" borderId="79" xfId="0" applyFont="1" applyFill="1" applyBorder="1" applyAlignment="1" applyProtection="1">
      <alignment vertical="center"/>
      <protection hidden="1"/>
    </xf>
    <xf numFmtId="177" fontId="29" fillId="0" borderId="92" xfId="0" applyNumberFormat="1" applyFont="1" applyFill="1" applyBorder="1" applyAlignment="1" applyProtection="1">
      <alignment horizontal="center" vertical="center"/>
      <protection hidden="1"/>
    </xf>
    <xf numFmtId="0" fontId="125" fillId="27" borderId="65" xfId="0" quotePrefix="1" applyNumberFormat="1" applyFont="1" applyFill="1" applyBorder="1" applyAlignment="1" applyProtection="1">
      <alignment horizontal="center" vertical="center"/>
      <protection hidden="1"/>
    </xf>
    <xf numFmtId="0" fontId="130" fillId="27" borderId="83" xfId="29" applyFont="1" applyFill="1" applyBorder="1" applyAlignment="1" applyProtection="1">
      <alignment horizontal="center" vertical="center"/>
      <protection hidden="1"/>
    </xf>
    <xf numFmtId="0" fontId="33" fillId="27" borderId="126" xfId="0" applyFont="1" applyFill="1" applyBorder="1" applyAlignment="1" applyProtection="1">
      <alignment vertical="center"/>
      <protection hidden="1"/>
    </xf>
    <xf numFmtId="0" fontId="128" fillId="27" borderId="127" xfId="0" applyFont="1" applyFill="1" applyBorder="1" applyAlignment="1" applyProtection="1">
      <alignment vertical="center"/>
      <protection hidden="1"/>
    </xf>
    <xf numFmtId="185" fontId="126" fillId="27" borderId="115" xfId="0" applyNumberFormat="1" applyFont="1" applyFill="1" applyBorder="1" applyAlignment="1" applyProtection="1">
      <alignment horizontal="center" vertical="center"/>
      <protection hidden="1"/>
    </xf>
    <xf numFmtId="177" fontId="29" fillId="0" borderId="115" xfId="0" applyNumberFormat="1" applyFont="1" applyFill="1" applyBorder="1" applyAlignment="1" applyProtection="1">
      <alignment horizontal="center" vertical="center"/>
      <protection hidden="1"/>
    </xf>
    <xf numFmtId="0" fontId="23" fillId="31" borderId="128" xfId="0" applyFont="1" applyFill="1" applyBorder="1" applyAlignment="1" applyProtection="1">
      <alignment vertical="center"/>
      <protection hidden="1"/>
    </xf>
    <xf numFmtId="0" fontId="23" fillId="31" borderId="129" xfId="0" applyFont="1" applyFill="1" applyBorder="1" applyAlignment="1" applyProtection="1">
      <alignment horizontal="left" vertical="center"/>
      <protection hidden="1"/>
    </xf>
    <xf numFmtId="0" fontId="23" fillId="31" borderId="129" xfId="0" applyFont="1" applyFill="1" applyBorder="1" applyAlignment="1" applyProtection="1">
      <alignment horizontal="left"/>
      <protection hidden="1"/>
    </xf>
    <xf numFmtId="0" fontId="6" fillId="31" borderId="130" xfId="0" applyFont="1" applyFill="1" applyBorder="1" applyAlignment="1" applyProtection="1">
      <alignment vertical="center"/>
      <protection hidden="1"/>
    </xf>
    <xf numFmtId="182" fontId="37" fillId="31" borderId="131" xfId="0" applyNumberFormat="1" applyFont="1" applyFill="1" applyBorder="1" applyAlignment="1" applyProtection="1">
      <alignment horizontal="center"/>
      <protection hidden="1"/>
    </xf>
    <xf numFmtId="198" fontId="126" fillId="31" borderId="132" xfId="0" applyNumberFormat="1" applyFont="1" applyFill="1" applyBorder="1" applyAlignment="1" applyProtection="1">
      <alignment horizontal="center" vertical="center"/>
      <protection hidden="1"/>
    </xf>
    <xf numFmtId="185" fontId="127" fillId="31" borderId="129" xfId="0" applyNumberFormat="1" applyFont="1" applyFill="1" applyBorder="1" applyAlignment="1" applyProtection="1">
      <alignment horizontal="center" vertical="center"/>
      <protection hidden="1"/>
    </xf>
    <xf numFmtId="198" fontId="126" fillId="31" borderId="133" xfId="0" applyNumberFormat="1" applyFont="1" applyFill="1" applyBorder="1" applyAlignment="1" applyProtection="1">
      <alignment horizontal="center" vertical="center"/>
      <protection hidden="1"/>
    </xf>
    <xf numFmtId="185" fontId="127" fillId="31" borderId="134" xfId="0" applyNumberFormat="1" applyFont="1" applyFill="1" applyBorder="1" applyAlignment="1" applyProtection="1">
      <alignment horizontal="center" vertical="center"/>
      <protection hidden="1"/>
    </xf>
    <xf numFmtId="0" fontId="125" fillId="27" borderId="109" xfId="0" applyFont="1" applyFill="1" applyBorder="1" applyAlignment="1" applyProtection="1">
      <alignment horizontal="left" vertical="center"/>
      <protection hidden="1"/>
    </xf>
    <xf numFmtId="0" fontId="125" fillId="27" borderId="0" xfId="0" applyFont="1" applyFill="1" applyBorder="1" applyAlignment="1" applyProtection="1">
      <alignment horizontal="left" vertical="center"/>
      <protection hidden="1"/>
    </xf>
    <xf numFmtId="198" fontId="129" fillId="27" borderId="94" xfId="0" applyNumberFormat="1" applyFont="1" applyFill="1" applyBorder="1" applyAlignment="1" applyProtection="1">
      <alignment horizontal="center" vertical="center"/>
      <protection hidden="1"/>
    </xf>
    <xf numFmtId="198" fontId="129" fillId="27" borderId="95" xfId="0" applyNumberFormat="1" applyFont="1" applyFill="1" applyBorder="1" applyAlignment="1" applyProtection="1">
      <alignment horizontal="center" vertical="center"/>
      <protection hidden="1"/>
    </xf>
    <xf numFmtId="185" fontId="126" fillId="27" borderId="96" xfId="0" applyNumberFormat="1" applyFont="1" applyFill="1" applyBorder="1" applyAlignment="1" applyProtection="1">
      <alignment horizontal="center" vertical="center"/>
      <protection hidden="1"/>
    </xf>
    <xf numFmtId="0" fontId="125" fillId="27" borderId="118" xfId="0" quotePrefix="1" applyNumberFormat="1" applyFont="1" applyFill="1" applyBorder="1" applyAlignment="1" applyProtection="1">
      <alignment horizontal="center" vertical="center"/>
      <protection hidden="1"/>
    </xf>
    <xf numFmtId="177" fontId="29" fillId="0" borderId="100" xfId="0" applyNumberFormat="1" applyFont="1" applyFill="1" applyBorder="1" applyAlignment="1" applyProtection="1">
      <alignment horizontal="center" vertical="center"/>
      <protection hidden="1"/>
    </xf>
    <xf numFmtId="0" fontId="23" fillId="27" borderId="89" xfId="0" quotePrefix="1" applyFont="1" applyFill="1" applyBorder="1" applyAlignment="1" applyProtection="1">
      <alignment vertical="center"/>
      <protection hidden="1"/>
    </xf>
    <xf numFmtId="177" fontId="29" fillId="0" borderId="66" xfId="0" applyNumberFormat="1" applyFont="1" applyFill="1" applyBorder="1" applyAlignment="1" applyProtection="1">
      <alignment horizontal="center" vertical="center"/>
      <protection hidden="1"/>
    </xf>
    <xf numFmtId="198" fontId="129" fillId="27" borderId="17" xfId="0" applyNumberFormat="1" applyFont="1" applyFill="1" applyBorder="1" applyAlignment="1" applyProtection="1">
      <alignment horizontal="center" vertical="center"/>
      <protection hidden="1"/>
    </xf>
    <xf numFmtId="185" fontId="29" fillId="0" borderId="0" xfId="0" applyNumberFormat="1" applyFont="1" applyFill="1" applyBorder="1" applyAlignment="1" applyProtection="1">
      <alignment horizontal="center" vertical="center"/>
      <protection hidden="1"/>
    </xf>
    <xf numFmtId="177" fontId="29" fillId="0" borderId="60" xfId="0" applyNumberFormat="1" applyFont="1" applyFill="1" applyBorder="1" applyAlignment="1" applyProtection="1">
      <alignment horizontal="center" vertical="center"/>
      <protection hidden="1"/>
    </xf>
    <xf numFmtId="0" fontId="125" fillId="27" borderId="77" xfId="0" quotePrefix="1" applyNumberFormat="1" applyFont="1" applyFill="1" applyBorder="1" applyAlignment="1" applyProtection="1">
      <alignment horizontal="center" vertical="center"/>
      <protection hidden="1"/>
    </xf>
    <xf numFmtId="198" fontId="129" fillId="27" borderId="58" xfId="0" applyNumberFormat="1" applyFont="1" applyFill="1" applyBorder="1" applyAlignment="1" applyProtection="1">
      <alignment horizontal="center" vertical="center"/>
      <protection hidden="1"/>
    </xf>
    <xf numFmtId="177" fontId="29" fillId="0" borderId="62" xfId="0" applyNumberFormat="1" applyFont="1" applyFill="1" applyBorder="1" applyAlignment="1" applyProtection="1">
      <alignment horizontal="center" vertical="center"/>
      <protection hidden="1"/>
    </xf>
    <xf numFmtId="0" fontId="125" fillId="27" borderId="77" xfId="0" applyFont="1" applyFill="1" applyBorder="1" applyAlignment="1" applyProtection="1">
      <alignment horizontal="center"/>
      <protection hidden="1"/>
    </xf>
    <xf numFmtId="198" fontId="129" fillId="27" borderId="120" xfId="0" applyNumberFormat="1" applyFont="1" applyFill="1" applyBorder="1" applyAlignment="1" applyProtection="1">
      <alignment horizontal="center" vertical="center"/>
      <protection hidden="1"/>
    </xf>
    <xf numFmtId="0" fontId="135" fillId="27" borderId="0" xfId="29" applyNumberFormat="1" applyFont="1" applyFill="1" applyBorder="1" applyAlignment="1" applyProtection="1">
      <alignment horizontal="center" vertical="center"/>
      <protection hidden="1"/>
    </xf>
    <xf numFmtId="0" fontId="136" fillId="27" borderId="0" xfId="0" applyNumberFormat="1" applyFont="1" applyFill="1" applyBorder="1" applyAlignment="1" applyProtection="1">
      <alignment horizontal="left" vertical="center"/>
      <protection hidden="1"/>
    </xf>
    <xf numFmtId="0" fontId="136" fillId="27" borderId="0" xfId="0" applyFont="1" applyFill="1" applyBorder="1" applyAlignment="1" applyProtection="1">
      <alignment horizontal="center" vertical="center"/>
      <protection hidden="1"/>
    </xf>
    <xf numFmtId="185" fontId="29" fillId="0" borderId="97" xfId="0" applyNumberFormat="1" applyFont="1" applyFill="1" applyBorder="1" applyAlignment="1" applyProtection="1">
      <alignment horizontal="center" vertical="center"/>
      <protection hidden="1"/>
    </xf>
    <xf numFmtId="0" fontId="125" fillId="27" borderId="53" xfId="0" applyNumberFormat="1" applyFont="1" applyFill="1" applyBorder="1" applyAlignment="1" applyProtection="1">
      <alignment horizontal="left" vertical="center"/>
      <protection hidden="1"/>
    </xf>
    <xf numFmtId="185" fontId="36" fillId="27" borderId="135" xfId="0" applyNumberFormat="1" applyFont="1" applyFill="1" applyBorder="1" applyAlignment="1" applyProtection="1">
      <alignment horizontal="center" vertical="center"/>
      <protection hidden="1"/>
    </xf>
    <xf numFmtId="177" fontId="29" fillId="0" borderId="0" xfId="0" applyNumberFormat="1" applyFont="1" applyFill="1" applyBorder="1" applyAlignment="1" applyProtection="1">
      <alignment horizontal="center" vertical="center"/>
      <protection hidden="1"/>
    </xf>
    <xf numFmtId="0" fontId="33" fillId="27" borderId="51" xfId="0" applyFont="1" applyFill="1" applyBorder="1" applyAlignment="1" applyProtection="1">
      <alignment horizontal="center" vertical="center"/>
      <protection hidden="1"/>
    </xf>
    <xf numFmtId="0" fontId="33" fillId="27" borderId="50" xfId="0" applyNumberFormat="1" applyFont="1" applyFill="1" applyBorder="1" applyAlignment="1" applyProtection="1">
      <alignment horizontal="left" vertical="center"/>
      <protection hidden="1"/>
    </xf>
    <xf numFmtId="0" fontId="130" fillId="27" borderId="83" xfId="29" applyNumberFormat="1" applyFont="1" applyFill="1" applyBorder="1" applyAlignment="1" applyProtection="1">
      <alignment horizontal="center" vertical="center"/>
      <protection hidden="1"/>
    </xf>
    <xf numFmtId="0" fontId="33" fillId="27" borderId="136" xfId="0" applyFont="1" applyFill="1" applyBorder="1" applyAlignment="1" applyProtection="1">
      <alignment horizontal="center" vertical="center"/>
      <protection hidden="1"/>
    </xf>
    <xf numFmtId="198" fontId="129" fillId="27" borderId="84" xfId="0" applyNumberFormat="1" applyFont="1" applyFill="1" applyBorder="1" applyAlignment="1" applyProtection="1">
      <alignment horizontal="center" vertical="center"/>
      <protection hidden="1"/>
    </xf>
    <xf numFmtId="198" fontId="129" fillId="27" borderId="137" xfId="0" applyNumberFormat="1" applyFont="1" applyFill="1" applyBorder="1" applyAlignment="1" applyProtection="1">
      <alignment horizontal="center" vertical="center"/>
      <protection hidden="1"/>
    </xf>
    <xf numFmtId="0" fontId="23" fillId="31" borderId="129" xfId="0" applyNumberFormat="1" applyFont="1" applyFill="1" applyBorder="1" applyAlignment="1" applyProtection="1">
      <alignment horizontal="left" vertical="center"/>
      <protection hidden="1"/>
    </xf>
    <xf numFmtId="0" fontId="33" fillId="31" borderId="130" xfId="0" applyNumberFormat="1" applyFont="1" applyFill="1" applyBorder="1" applyAlignment="1" applyProtection="1">
      <alignment horizontal="left" vertical="center"/>
      <protection hidden="1"/>
    </xf>
    <xf numFmtId="182" fontId="37" fillId="31" borderId="138" xfId="0" applyNumberFormat="1" applyFont="1" applyFill="1" applyBorder="1" applyAlignment="1" applyProtection="1">
      <alignment horizontal="center"/>
      <protection hidden="1"/>
    </xf>
    <xf numFmtId="185" fontId="36" fillId="0" borderId="92" xfId="0" applyNumberFormat="1" applyFont="1" applyFill="1" applyBorder="1" applyAlignment="1" applyProtection="1">
      <alignment horizontal="center" vertical="center"/>
      <protection hidden="1"/>
    </xf>
    <xf numFmtId="0" fontId="23" fillId="27" borderId="80" xfId="0" quotePrefix="1" applyFont="1" applyFill="1" applyBorder="1" applyAlignment="1" applyProtection="1">
      <alignment vertical="center"/>
      <protection hidden="1"/>
    </xf>
    <xf numFmtId="0" fontId="125" fillId="27" borderId="50" xfId="0" applyFont="1" applyFill="1" applyBorder="1" applyAlignment="1" applyProtection="1">
      <alignment horizontal="left" vertical="center"/>
      <protection hidden="1"/>
    </xf>
    <xf numFmtId="198" fontId="129" fillId="27" borderId="27" xfId="0" applyNumberFormat="1" applyFont="1" applyFill="1" applyBorder="1" applyAlignment="1" applyProtection="1">
      <alignment horizontal="center" vertical="center"/>
      <protection hidden="1"/>
    </xf>
    <xf numFmtId="0" fontId="125" fillId="27" borderId="57" xfId="0" applyNumberFormat="1" applyFont="1" applyFill="1" applyBorder="1" applyAlignment="1" applyProtection="1">
      <alignment horizontal="left" vertical="center"/>
      <protection hidden="1"/>
    </xf>
    <xf numFmtId="0" fontId="23" fillId="27" borderId="64" xfId="0" applyFont="1" applyFill="1" applyBorder="1" applyProtection="1">
      <alignment vertical="center"/>
      <protection hidden="1"/>
    </xf>
    <xf numFmtId="0" fontId="33" fillId="27" borderId="57" xfId="0" applyNumberFormat="1" applyFont="1" applyFill="1" applyBorder="1" applyAlignment="1" applyProtection="1">
      <alignment horizontal="left" vertical="center"/>
      <protection hidden="1"/>
    </xf>
    <xf numFmtId="0" fontId="33" fillId="27" borderId="57" xfId="0" applyFont="1" applyFill="1" applyBorder="1" applyProtection="1">
      <alignment vertical="center"/>
      <protection hidden="1"/>
    </xf>
    <xf numFmtId="0" fontId="2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198" fontId="129" fillId="27" borderId="140" xfId="0" applyNumberFormat="1" applyFont="1" applyFill="1" applyBorder="1" applyAlignment="1" applyProtection="1">
      <alignment horizontal="center" vertical="center"/>
      <protection hidden="1"/>
    </xf>
    <xf numFmtId="0" fontId="137" fillId="0" borderId="62" xfId="0" quotePrefix="1" applyNumberFormat="1" applyFont="1" applyFill="1" applyBorder="1" applyAlignment="1" applyProtection="1">
      <alignment horizontal="left" vertical="center"/>
      <protection hidden="1"/>
    </xf>
    <xf numFmtId="0" fontId="138" fillId="0" borderId="0" xfId="0" applyFont="1" applyFill="1" applyBorder="1" applyAlignment="1" applyProtection="1">
      <alignment horizontal="left"/>
      <protection hidden="1"/>
    </xf>
    <xf numFmtId="0" fontId="139" fillId="0" borderId="0" xfId="0" applyFont="1" applyFill="1" applyBorder="1" applyAlignment="1" applyProtection="1">
      <alignment vertical="center"/>
      <protection hidden="1"/>
    </xf>
    <xf numFmtId="0" fontId="22" fillId="0" borderId="0" xfId="0" applyFont="1" applyFill="1" applyBorder="1" applyAlignment="1" applyProtection="1">
      <alignment vertical="center"/>
      <protection hidden="1"/>
    </xf>
    <xf numFmtId="0" fontId="140" fillId="0" borderId="0" xfId="0" applyFont="1" applyFill="1" applyBorder="1" applyAlignment="1" applyProtection="1">
      <alignment vertical="center"/>
      <protection hidden="1"/>
    </xf>
    <xf numFmtId="198" fontId="126" fillId="27" borderId="98" xfId="0" applyNumberFormat="1" applyFont="1" applyFill="1" applyBorder="1" applyAlignment="1" applyProtection="1">
      <alignment horizontal="center" vertical="center"/>
      <protection hidden="1"/>
    </xf>
    <xf numFmtId="198" fontId="126" fillId="27" borderId="99" xfId="0" applyNumberFormat="1" applyFont="1" applyFill="1" applyBorder="1" applyAlignment="1" applyProtection="1">
      <alignment horizontal="center" vertical="center"/>
      <protection hidden="1"/>
    </xf>
    <xf numFmtId="0" fontId="63" fillId="33" borderId="59" xfId="0" applyNumberFormat="1" applyFont="1" applyFill="1" applyBorder="1" applyAlignment="1" applyProtection="1">
      <alignment horizontal="left" vertical="center"/>
      <protection hidden="1"/>
    </xf>
    <xf numFmtId="0" fontId="63" fillId="33" borderId="60" xfId="0" applyNumberFormat="1" applyFont="1" applyFill="1" applyBorder="1" applyAlignment="1" applyProtection="1">
      <alignment horizontal="left" vertical="center"/>
      <protection hidden="1"/>
    </xf>
    <xf numFmtId="0" fontId="63" fillId="33" borderId="61" xfId="0" applyNumberFormat="1" applyFont="1" applyFill="1" applyBorder="1" applyAlignment="1" applyProtection="1">
      <alignment horizontal="left" vertical="center"/>
      <protection hidden="1"/>
    </xf>
    <xf numFmtId="182" fontId="37" fillId="33" borderId="138" xfId="0" applyNumberFormat="1" applyFont="1" applyFill="1" applyBorder="1" applyAlignment="1" applyProtection="1">
      <alignment horizontal="center"/>
      <protection hidden="1"/>
    </xf>
    <xf numFmtId="198" fontId="129" fillId="33" borderId="141" xfId="0" applyNumberFormat="1" applyFont="1" applyFill="1" applyBorder="1" applyAlignment="1" applyProtection="1">
      <alignment horizontal="center" vertical="center"/>
      <protection hidden="1"/>
    </xf>
    <xf numFmtId="185" fontId="29" fillId="33" borderId="60" xfId="0" applyNumberFormat="1" applyFont="1" applyFill="1" applyBorder="1" applyAlignment="1" applyProtection="1">
      <alignment horizontal="center" vertical="center"/>
      <protection hidden="1"/>
    </xf>
    <xf numFmtId="198" fontId="129" fillId="33" borderId="142" xfId="0" applyNumberFormat="1" applyFont="1" applyFill="1" applyBorder="1" applyAlignment="1" applyProtection="1">
      <alignment horizontal="center" vertical="center"/>
      <protection hidden="1"/>
    </xf>
    <xf numFmtId="185" fontId="64" fillId="33" borderId="92" xfId="0" applyNumberFormat="1" applyFont="1" applyFill="1" applyBorder="1" applyAlignment="1" applyProtection="1">
      <alignment horizontal="center" vertical="center"/>
      <protection hidden="1"/>
    </xf>
    <xf numFmtId="0" fontId="23" fillId="31" borderId="104" xfId="0" applyFont="1" applyFill="1" applyBorder="1" applyAlignment="1" applyProtection="1">
      <alignment vertical="center"/>
      <protection hidden="1"/>
    </xf>
    <xf numFmtId="0" fontId="125" fillId="31" borderId="103" xfId="0" applyNumberFormat="1" applyFont="1" applyFill="1" applyBorder="1" applyAlignment="1" applyProtection="1">
      <alignment horizontal="right" vertical="center"/>
      <protection hidden="1"/>
    </xf>
    <xf numFmtId="182" fontId="37" fillId="31" borderId="143" xfId="0" applyNumberFormat="1" applyFont="1" applyFill="1" applyBorder="1" applyAlignment="1" applyProtection="1">
      <alignment horizontal="center"/>
      <protection hidden="1"/>
    </xf>
    <xf numFmtId="0" fontId="125" fillId="27" borderId="63" xfId="0" applyFont="1" applyFill="1" applyBorder="1" applyAlignment="1" applyProtection="1">
      <alignment horizontal="right" vertical="center"/>
      <protection hidden="1"/>
    </xf>
    <xf numFmtId="185" fontId="36" fillId="0" borderId="144" xfId="0" applyNumberFormat="1" applyFont="1" applyFill="1" applyBorder="1" applyAlignment="1" applyProtection="1">
      <alignment horizontal="center" vertical="center"/>
      <protection hidden="1"/>
    </xf>
    <xf numFmtId="0" fontId="23" fillId="27" borderId="89" xfId="0" applyFont="1" applyFill="1" applyBorder="1" applyAlignment="1" applyProtection="1">
      <alignment vertical="center"/>
      <protection hidden="1"/>
    </xf>
    <xf numFmtId="0" fontId="125" fillId="27" borderId="82" xfId="0" applyFont="1" applyFill="1" applyBorder="1" applyAlignment="1" applyProtection="1">
      <alignment horizontal="right" vertical="center"/>
      <protection hidden="1"/>
    </xf>
    <xf numFmtId="0" fontId="23" fillId="27" borderId="62" xfId="0" applyFont="1" applyFill="1" applyBorder="1" applyAlignment="1" applyProtection="1">
      <alignment vertical="center"/>
      <protection hidden="1"/>
    </xf>
    <xf numFmtId="198" fontId="129" fillId="27" borderId="54" xfId="0" applyNumberFormat="1" applyFont="1" applyFill="1" applyBorder="1" applyAlignment="1" applyProtection="1">
      <alignment horizontal="center" vertical="center"/>
      <protection hidden="1"/>
    </xf>
    <xf numFmtId="0" fontId="23" fillId="27" borderId="26" xfId="0" applyNumberFormat="1" applyFont="1" applyFill="1" applyBorder="1" applyAlignment="1" applyProtection="1">
      <alignment horizontal="right" vertical="center"/>
      <protection hidden="1"/>
    </xf>
    <xf numFmtId="198" fontId="129" fillId="27" borderId="118" xfId="0" applyNumberFormat="1" applyFont="1" applyFill="1" applyBorder="1" applyAlignment="1" applyProtection="1">
      <alignment horizontal="center" vertical="center"/>
      <protection hidden="1"/>
    </xf>
    <xf numFmtId="0" fontId="23" fillId="27" borderId="120" xfId="0" applyFont="1" applyFill="1" applyBorder="1" applyAlignment="1" applyProtection="1">
      <alignment vertical="center"/>
      <protection hidden="1"/>
    </xf>
    <xf numFmtId="0" fontId="136" fillId="42" borderId="50" xfId="0" applyNumberFormat="1" applyFont="1" applyFill="1" applyBorder="1" applyAlignment="1" applyProtection="1">
      <alignment horizontal="left" vertical="center"/>
      <protection hidden="1"/>
    </xf>
    <xf numFmtId="0" fontId="142" fillId="27" borderId="62" xfId="0" applyNumberFormat="1" applyFont="1" applyFill="1" applyBorder="1" applyAlignment="1" applyProtection="1">
      <alignment horizontal="center" vertical="center"/>
      <protection hidden="1"/>
    </xf>
    <xf numFmtId="0" fontId="141" fillId="27" borderId="26" xfId="0" applyFont="1" applyFill="1" applyBorder="1" applyProtection="1">
      <alignment vertical="center"/>
      <protection hidden="1"/>
    </xf>
    <xf numFmtId="0" fontId="142" fillId="27" borderId="77" xfId="0" applyNumberFormat="1" applyFont="1" applyFill="1" applyBorder="1" applyAlignment="1" applyProtection="1">
      <alignment horizontal="center" vertical="center"/>
      <protection hidden="1"/>
    </xf>
    <xf numFmtId="177" fontId="29" fillId="0" borderId="68" xfId="0" applyNumberFormat="1" applyFont="1" applyFill="1" applyBorder="1" applyAlignment="1" applyProtection="1">
      <alignment horizontal="center" vertical="center"/>
      <protection hidden="1"/>
    </xf>
    <xf numFmtId="0" fontId="23" fillId="27" borderId="145" xfId="0" quotePrefix="1" applyFont="1" applyFill="1" applyBorder="1" applyAlignment="1" applyProtection="1">
      <alignment vertical="center"/>
      <protection hidden="1"/>
    </xf>
    <xf numFmtId="0" fontId="23" fillId="27" borderId="64" xfId="0" quotePrefix="1" applyFont="1" applyFill="1" applyBorder="1" applyAlignment="1" applyProtection="1">
      <alignment vertical="center"/>
      <protection hidden="1"/>
    </xf>
    <xf numFmtId="177" fontId="29" fillId="0" borderId="69" xfId="0" applyNumberFormat="1" applyFont="1" applyFill="1" applyBorder="1" applyAlignment="1" applyProtection="1">
      <alignment horizontal="center" vertical="center"/>
      <protection hidden="1"/>
    </xf>
    <xf numFmtId="0" fontId="130" fillId="27" borderId="64" xfId="29" quotePrefix="1" applyNumberFormat="1" applyFont="1" applyFill="1" applyBorder="1" applyAlignment="1" applyProtection="1">
      <alignment horizontal="center" vertical="center"/>
      <protection hidden="1"/>
    </xf>
    <xf numFmtId="0" fontId="130" fillId="27" borderId="56" xfId="29" quotePrefix="1" applyNumberFormat="1" applyFont="1" applyFill="1" applyBorder="1" applyAlignment="1" applyProtection="1">
      <alignment horizontal="center" vertical="center"/>
      <protection hidden="1"/>
    </xf>
    <xf numFmtId="214" fontId="29" fillId="0" borderId="100" xfId="0" applyNumberFormat="1" applyFont="1" applyFill="1" applyBorder="1" applyAlignment="1" applyProtection="1">
      <alignment horizontal="center" vertical="center"/>
      <protection hidden="1"/>
    </xf>
    <xf numFmtId="214" fontId="29" fillId="0" borderId="100" xfId="0" applyNumberFormat="1" applyFont="1" applyFill="1" applyBorder="1" applyAlignment="1" applyProtection="1">
      <alignment horizontal="center" vertical="justify"/>
      <protection hidden="1"/>
    </xf>
    <xf numFmtId="0" fontId="125" fillId="27" borderId="120" xfId="0" applyFont="1" applyFill="1" applyBorder="1" applyAlignment="1" applyProtection="1">
      <alignment horizontal="center" vertical="center"/>
      <protection hidden="1"/>
    </xf>
    <xf numFmtId="214" fontId="29" fillId="0" borderId="115" xfId="0" applyNumberFormat="1" applyFont="1" applyFill="1" applyBorder="1" applyAlignment="1" applyProtection="1">
      <alignment horizontal="center" vertical="justify"/>
      <protection hidden="1"/>
    </xf>
    <xf numFmtId="214" fontId="29" fillId="0" borderId="0" xfId="0" applyNumberFormat="1" applyFont="1" applyFill="1" applyBorder="1" applyAlignment="1" applyProtection="1">
      <alignment horizontal="center" vertical="center"/>
      <protection hidden="1"/>
    </xf>
    <xf numFmtId="214" fontId="29" fillId="0" borderId="144" xfId="0" applyNumberFormat="1" applyFont="1" applyFill="1" applyBorder="1" applyAlignment="1" applyProtection="1">
      <alignment horizontal="center" vertical="justify"/>
      <protection hidden="1"/>
    </xf>
    <xf numFmtId="214" fontId="29" fillId="0" borderId="66" xfId="0" applyNumberFormat="1" applyFont="1" applyFill="1" applyBorder="1" applyAlignment="1" applyProtection="1">
      <alignment horizontal="center" vertical="center"/>
      <protection hidden="1"/>
    </xf>
    <xf numFmtId="0" fontId="125" fillId="27" borderId="116" xfId="0" applyNumberFormat="1" applyFont="1" applyFill="1" applyBorder="1" applyAlignment="1" applyProtection="1">
      <alignment horizontal="center" vertical="center"/>
      <protection hidden="1"/>
    </xf>
    <xf numFmtId="182" fontId="37" fillId="31" borderId="148" xfId="0" applyNumberFormat="1" applyFont="1" applyFill="1" applyBorder="1" applyAlignment="1" applyProtection="1">
      <alignment horizontal="center"/>
      <protection hidden="1"/>
    </xf>
    <xf numFmtId="0" fontId="23" fillId="27" borderId="62" xfId="0" quotePrefix="1" applyFont="1" applyFill="1" applyBorder="1" applyProtection="1">
      <alignment vertical="center"/>
      <protection hidden="1"/>
    </xf>
    <xf numFmtId="0" fontId="23" fillId="27" borderId="89" xfId="0" quotePrefix="1" applyFont="1" applyFill="1" applyBorder="1" applyProtection="1">
      <alignment vertical="center"/>
      <protection hidden="1"/>
    </xf>
    <xf numFmtId="185" fontId="36" fillId="27" borderId="149" xfId="0" applyNumberFormat="1" applyFont="1" applyFill="1" applyBorder="1" applyAlignment="1" applyProtection="1">
      <alignment horizontal="center" vertical="center"/>
      <protection hidden="1"/>
    </xf>
    <xf numFmtId="198" fontId="129" fillId="27" borderId="26" xfId="0" applyNumberFormat="1" applyFont="1" applyFill="1" applyBorder="1" applyAlignment="1" applyProtection="1">
      <alignment horizontal="center" vertical="center"/>
      <protection hidden="1"/>
    </xf>
    <xf numFmtId="198" fontId="129" fillId="27" borderId="50" xfId="0" applyNumberFormat="1" applyFont="1" applyFill="1" applyBorder="1" applyAlignment="1" applyProtection="1">
      <alignment horizontal="center" vertical="center"/>
      <protection hidden="1"/>
    </xf>
    <xf numFmtId="214" fontId="29" fillId="0" borderId="69" xfId="0" applyNumberFormat="1" applyFont="1" applyFill="1" applyBorder="1" applyAlignment="1" applyProtection="1">
      <alignment horizontal="center" vertical="center"/>
      <protection hidden="1"/>
    </xf>
    <xf numFmtId="0" fontId="33" fillId="27" borderId="0" xfId="0" applyNumberFormat="1" applyFont="1" applyFill="1" applyBorder="1" applyAlignment="1" applyProtection="1">
      <alignment horizontal="left" vertical="center"/>
      <protection hidden="1"/>
    </xf>
    <xf numFmtId="198" fontId="129" fillId="27" borderId="64" xfId="0" applyNumberFormat="1" applyFont="1" applyFill="1" applyBorder="1" applyAlignment="1" applyProtection="1">
      <alignment horizontal="center" vertical="center"/>
      <protection hidden="1"/>
    </xf>
    <xf numFmtId="0" fontId="23" fillId="27" borderId="77" xfId="0" quotePrefix="1" applyFont="1" applyFill="1" applyBorder="1" applyProtection="1">
      <alignment vertical="center"/>
      <protection hidden="1"/>
    </xf>
    <xf numFmtId="198" fontId="129" fillId="27" borderId="57" xfId="0" applyNumberFormat="1" applyFont="1" applyFill="1" applyBorder="1" applyAlignment="1" applyProtection="1">
      <alignment horizontal="center" vertical="center"/>
      <protection hidden="1"/>
    </xf>
    <xf numFmtId="0" fontId="23" fillId="27" borderId="89" xfId="0" applyFont="1" applyFill="1" applyBorder="1" applyProtection="1">
      <alignment vertical="center"/>
      <protection hidden="1"/>
    </xf>
    <xf numFmtId="0" fontId="23" fillId="27" borderId="62" xfId="0" applyFont="1" applyFill="1" applyBorder="1" applyProtection="1">
      <alignment vertical="center"/>
      <protection hidden="1"/>
    </xf>
    <xf numFmtId="185" fontId="36" fillId="27" borderId="150" xfId="0" applyNumberFormat="1" applyFont="1" applyFill="1" applyBorder="1" applyAlignment="1" applyProtection="1">
      <alignment horizontal="center" vertical="center"/>
      <protection hidden="1"/>
    </xf>
    <xf numFmtId="0" fontId="142" fillId="27" borderId="62" xfId="0" applyFont="1" applyFill="1" applyBorder="1" applyAlignment="1" applyProtection="1">
      <alignment horizontal="center"/>
      <protection hidden="1"/>
    </xf>
    <xf numFmtId="185" fontId="29" fillId="0" borderId="61" xfId="0" applyNumberFormat="1" applyFont="1" applyFill="1" applyBorder="1" applyAlignment="1" applyProtection="1">
      <alignment horizontal="center" vertical="center"/>
      <protection hidden="1"/>
    </xf>
    <xf numFmtId="185" fontId="29" fillId="0" borderId="63" xfId="0" applyNumberFormat="1" applyFont="1" applyFill="1" applyBorder="1" applyAlignment="1" applyProtection="1">
      <alignment horizontal="center" vertical="center"/>
      <protection hidden="1"/>
    </xf>
    <xf numFmtId="185" fontId="29" fillId="0" borderId="67" xfId="0" applyNumberFormat="1" applyFont="1" applyFill="1" applyBorder="1" applyAlignment="1" applyProtection="1">
      <alignment horizontal="center" vertical="center"/>
      <protection hidden="1"/>
    </xf>
    <xf numFmtId="185" fontId="36" fillId="27" borderId="151" xfId="0" applyNumberFormat="1" applyFont="1" applyFill="1" applyBorder="1" applyAlignment="1" applyProtection="1">
      <alignment horizontal="center" vertical="center"/>
      <protection hidden="1"/>
    </xf>
    <xf numFmtId="0" fontId="33" fillId="27" borderId="26" xfId="0" applyNumberFormat="1" applyFont="1" applyFill="1" applyBorder="1" applyAlignment="1" applyProtection="1">
      <alignment horizontal="left" vertical="center" shrinkToFit="1"/>
      <protection hidden="1"/>
    </xf>
    <xf numFmtId="0" fontId="33" fillId="0" borderId="0" xfId="0" applyFont="1">
      <alignment vertical="center"/>
    </xf>
    <xf numFmtId="0" fontId="63" fillId="30" borderId="59" xfId="0" applyFont="1" applyFill="1" applyBorder="1" applyAlignment="1" applyProtection="1">
      <alignment vertical="center"/>
    </xf>
    <xf numFmtId="0" fontId="32" fillId="30" borderId="60" xfId="44" applyFont="1" applyFill="1" applyBorder="1" applyAlignment="1" applyProtection="1">
      <alignment vertical="center"/>
    </xf>
    <xf numFmtId="0" fontId="32" fillId="30" borderId="60" xfId="44" applyFont="1" applyFill="1" applyBorder="1" applyAlignment="1" applyProtection="1">
      <alignment horizontal="left" vertical="center"/>
    </xf>
    <xf numFmtId="0" fontId="32" fillId="30" borderId="60" xfId="44" applyNumberFormat="1" applyFont="1" applyFill="1" applyBorder="1" applyAlignment="1" applyProtection="1">
      <alignment vertical="center"/>
    </xf>
    <xf numFmtId="0" fontId="2" fillId="30" borderId="60" xfId="44" applyNumberFormat="1" applyFont="1" applyFill="1" applyBorder="1" applyAlignment="1" applyProtection="1">
      <alignment vertical="center"/>
    </xf>
    <xf numFmtId="0" fontId="2" fillId="30" borderId="60" xfId="0" applyFont="1" applyFill="1" applyBorder="1" applyAlignment="1" applyProtection="1">
      <alignment horizontal="center" vertical="center"/>
    </xf>
    <xf numFmtId="0" fontId="2" fillId="30" borderId="60" xfId="0" applyFont="1" applyFill="1" applyBorder="1" applyAlignment="1" applyProtection="1">
      <alignment vertical="center"/>
    </xf>
    <xf numFmtId="0" fontId="116" fillId="30" borderId="60" xfId="0" applyFont="1" applyFill="1" applyBorder="1" applyAlignment="1" applyProtection="1">
      <alignment vertical="center"/>
    </xf>
    <xf numFmtId="0" fontId="32" fillId="30" borderId="61" xfId="44" applyFont="1" applyFill="1" applyBorder="1" applyAlignment="1" applyProtection="1">
      <alignment vertical="center"/>
    </xf>
    <xf numFmtId="0" fontId="63" fillId="27" borderId="62" xfId="0" applyFont="1" applyFill="1" applyBorder="1" applyAlignment="1" applyProtection="1">
      <alignment vertical="center"/>
    </xf>
    <xf numFmtId="0" fontId="32" fillId="27" borderId="0" xfId="44" applyFont="1" applyFill="1" applyBorder="1" applyAlignment="1" applyProtection="1">
      <alignment vertical="center"/>
    </xf>
    <xf numFmtId="0" fontId="32" fillId="27" borderId="0" xfId="44" applyFont="1" applyFill="1" applyBorder="1" applyAlignment="1" applyProtection="1">
      <alignment horizontal="left" vertical="center"/>
    </xf>
    <xf numFmtId="0" fontId="32" fillId="27" borderId="0" xfId="44" applyNumberFormat="1" applyFont="1" applyFill="1" applyBorder="1" applyAlignment="1" applyProtection="1">
      <alignment vertical="center"/>
    </xf>
    <xf numFmtId="0" fontId="2" fillId="27" borderId="0" xfId="44" applyNumberFormat="1" applyFont="1" applyFill="1" applyBorder="1" applyAlignment="1" applyProtection="1">
      <alignment vertical="center"/>
    </xf>
    <xf numFmtId="0" fontId="33" fillId="27" borderId="0" xfId="0" applyFont="1" applyFill="1" applyBorder="1" applyAlignment="1" applyProtection="1">
      <alignment horizontal="center" vertical="center"/>
    </xf>
    <xf numFmtId="0" fontId="2" fillId="27" borderId="0" xfId="0" applyFont="1" applyFill="1" applyBorder="1" applyAlignment="1" applyProtection="1">
      <alignment vertical="center"/>
    </xf>
    <xf numFmtId="0" fontId="116" fillId="27" borderId="0" xfId="0" applyFont="1" applyFill="1" applyBorder="1" applyAlignment="1" applyProtection="1">
      <alignment vertical="center"/>
    </xf>
    <xf numFmtId="0" fontId="23" fillId="27" borderId="62" xfId="44" applyFont="1" applyFill="1" applyBorder="1" applyAlignment="1" applyProtection="1">
      <alignment vertical="center"/>
    </xf>
    <xf numFmtId="0" fontId="33" fillId="27" borderId="0" xfId="44" applyFont="1" applyFill="1" applyBorder="1" applyAlignment="1" applyProtection="1">
      <alignment horizontal="right" vertical="center"/>
    </xf>
    <xf numFmtId="0" fontId="6" fillId="27" borderId="0" xfId="44" applyFont="1" applyFill="1" applyBorder="1" applyAlignment="1" applyProtection="1">
      <alignment vertical="center"/>
    </xf>
    <xf numFmtId="0" fontId="33" fillId="27" borderId="63" xfId="44" applyFont="1" applyFill="1" applyBorder="1" applyAlignment="1" applyProtection="1">
      <alignment horizontal="right" vertical="center"/>
    </xf>
    <xf numFmtId="0" fontId="125" fillId="27" borderId="0" xfId="44" applyFont="1" applyFill="1" applyBorder="1" applyAlignment="1" applyProtection="1">
      <alignment vertical="center"/>
    </xf>
    <xf numFmtId="0" fontId="69" fillId="27" borderId="0" xfId="44" applyFont="1" applyFill="1" applyBorder="1" applyAlignment="1" applyProtection="1">
      <alignment horizontal="left" vertical="center"/>
    </xf>
    <xf numFmtId="0" fontId="33" fillId="31" borderId="10" xfId="44" applyFont="1" applyFill="1" applyBorder="1" applyAlignment="1" applyProtection="1">
      <alignment horizontal="center" vertical="center"/>
    </xf>
    <xf numFmtId="182" fontId="33" fillId="31" borderId="10" xfId="44" applyNumberFormat="1" applyFont="1" applyFill="1" applyBorder="1" applyAlignment="1" applyProtection="1">
      <alignment horizontal="center" vertical="center"/>
    </xf>
    <xf numFmtId="0" fontId="33" fillId="31" borderId="10" xfId="44" applyFont="1" applyFill="1" applyBorder="1" applyAlignment="1" applyProtection="1">
      <alignment vertical="center"/>
    </xf>
    <xf numFmtId="0" fontId="33" fillId="27" borderId="0" xfId="44" applyFont="1" applyFill="1" applyBorder="1" applyAlignment="1" applyProtection="1">
      <alignment vertical="center"/>
    </xf>
    <xf numFmtId="0" fontId="33" fillId="31" borderId="152" xfId="44" applyFont="1" applyFill="1" applyBorder="1" applyAlignment="1" applyProtection="1">
      <alignment vertical="center"/>
    </xf>
    <xf numFmtId="0" fontId="33" fillId="27" borderId="0" xfId="44" applyFont="1" applyFill="1" applyBorder="1" applyAlignment="1" applyProtection="1">
      <alignment horizontal="left" vertical="center"/>
    </xf>
    <xf numFmtId="0" fontId="33" fillId="27" borderId="26" xfId="0" applyFont="1" applyFill="1" applyBorder="1">
      <alignment vertical="center"/>
    </xf>
    <xf numFmtId="0" fontId="6" fillId="27" borderId="63" xfId="44" applyFont="1" applyFill="1" applyBorder="1" applyAlignment="1" applyProtection="1">
      <alignment vertical="center"/>
    </xf>
    <xf numFmtId="178" fontId="33" fillId="27" borderId="144" xfId="44" applyNumberFormat="1" applyFont="1" applyFill="1" applyBorder="1" applyAlignment="1" applyProtection="1">
      <alignment horizontal="right" vertical="center"/>
    </xf>
    <xf numFmtId="0" fontId="125" fillId="27" borderId="0" xfId="44" applyFont="1" applyFill="1" applyBorder="1" applyAlignment="1" applyProtection="1">
      <alignment horizontal="right" vertical="center"/>
    </xf>
    <xf numFmtId="178" fontId="33" fillId="27" borderId="0" xfId="44" applyNumberFormat="1" applyFont="1" applyFill="1" applyBorder="1" applyAlignment="1" applyProtection="1">
      <alignment horizontal="right" vertical="center"/>
    </xf>
    <xf numFmtId="38" fontId="33" fillId="27" borderId="10" xfId="35" applyFont="1" applyFill="1" applyBorder="1" applyAlignment="1">
      <alignment vertical="center"/>
    </xf>
    <xf numFmtId="0" fontId="33" fillId="27" borderId="10" xfId="0" applyFont="1" applyFill="1" applyBorder="1">
      <alignment vertical="center"/>
    </xf>
    <xf numFmtId="182" fontId="33" fillId="27" borderId="17" xfId="44" applyNumberFormat="1" applyFont="1" applyFill="1" applyBorder="1" applyAlignment="1" applyProtection="1">
      <alignment horizontal="center" vertical="center"/>
    </xf>
    <xf numFmtId="0" fontId="6" fillId="27" borderId="26" xfId="44" applyFont="1" applyFill="1" applyBorder="1" applyAlignment="1" applyProtection="1">
      <alignment horizontal="left" vertical="center"/>
    </xf>
    <xf numFmtId="0" fontId="33" fillId="27" borderId="50" xfId="44" applyFont="1" applyFill="1" applyBorder="1" applyAlignment="1" applyProtection="1">
      <alignment vertical="center"/>
    </xf>
    <xf numFmtId="0" fontId="6" fillId="27" borderId="27" xfId="44" applyFont="1" applyFill="1" applyBorder="1" applyAlignment="1" applyProtection="1">
      <alignment vertical="center"/>
    </xf>
    <xf numFmtId="179" fontId="6" fillId="27" borderId="10" xfId="44" applyNumberFormat="1" applyFont="1" applyFill="1" applyBorder="1" applyAlignment="1" applyProtection="1">
      <alignment vertical="center"/>
    </xf>
    <xf numFmtId="179" fontId="6" fillId="27" borderId="152" xfId="44" applyNumberFormat="1" applyFont="1" applyFill="1" applyBorder="1" applyAlignment="1" applyProtection="1">
      <alignment vertical="center"/>
    </xf>
    <xf numFmtId="179" fontId="6" fillId="27" borderId="51" xfId="44" applyNumberFormat="1" applyFont="1" applyFill="1" applyBorder="1" applyAlignment="1" applyProtection="1">
      <alignment vertical="center"/>
    </xf>
    <xf numFmtId="179" fontId="6" fillId="27" borderId="154" xfId="44" applyNumberFormat="1" applyFont="1" applyFill="1" applyBorder="1" applyAlignment="1" applyProtection="1">
      <alignment horizontal="right" vertical="center"/>
    </xf>
    <xf numFmtId="0" fontId="4" fillId="33" borderId="155" xfId="44" applyFont="1" applyFill="1" applyBorder="1" applyAlignment="1" applyProtection="1">
      <alignment vertical="center"/>
    </xf>
    <xf numFmtId="0" fontId="32" fillId="33" borderId="126" xfId="44" applyFont="1" applyFill="1" applyBorder="1" applyAlignment="1" applyProtection="1">
      <alignment horizontal="left" vertical="center"/>
    </xf>
    <xf numFmtId="0" fontId="32" fillId="33" borderId="126" xfId="44" applyFont="1" applyFill="1" applyBorder="1" applyAlignment="1" applyProtection="1">
      <alignment vertical="center"/>
    </xf>
    <xf numFmtId="0" fontId="2" fillId="33" borderId="156" xfId="44" applyFont="1" applyFill="1" applyBorder="1" applyAlignment="1" applyProtection="1">
      <alignment vertical="center"/>
    </xf>
    <xf numFmtId="179" fontId="4" fillId="33" borderId="136" xfId="44" applyNumberFormat="1" applyFont="1" applyFill="1" applyBorder="1" applyAlignment="1" applyProtection="1">
      <alignment horizontal="right" vertical="center"/>
    </xf>
    <xf numFmtId="0" fontId="33" fillId="27" borderId="66" xfId="44" applyFont="1" applyFill="1" applyBorder="1" applyAlignment="1" applyProtection="1">
      <alignment vertical="center"/>
    </xf>
    <xf numFmtId="179" fontId="4" fillId="33" borderId="157" xfId="44" applyNumberFormat="1" applyFont="1" applyFill="1" applyBorder="1" applyAlignment="1" applyProtection="1">
      <alignment horizontal="right" vertical="center"/>
    </xf>
    <xf numFmtId="0" fontId="146" fillId="0" borderId="0" xfId="0" applyFont="1" applyFill="1" applyBorder="1" applyAlignment="1" applyProtection="1">
      <alignment vertical="center"/>
    </xf>
    <xf numFmtId="0" fontId="147"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0" fillId="0" borderId="0" xfId="0" applyFill="1" applyProtection="1">
      <alignment vertical="center"/>
    </xf>
    <xf numFmtId="0" fontId="33" fillId="0" borderId="126" xfId="0" applyFont="1" applyFill="1" applyBorder="1" applyProtection="1">
      <alignment vertical="center"/>
    </xf>
    <xf numFmtId="0" fontId="33" fillId="0" borderId="126" xfId="0" applyFont="1" applyFill="1" applyBorder="1" applyAlignment="1" applyProtection="1">
      <alignment horizontal="left" vertical="top" wrapText="1"/>
    </xf>
    <xf numFmtId="3" fontId="27" fillId="0" borderId="0" xfId="0" applyNumberFormat="1" applyFont="1" applyFill="1" applyBorder="1" applyAlignment="1" applyProtection="1">
      <alignment horizontal="left" vertical="center"/>
    </xf>
    <xf numFmtId="0" fontId="33" fillId="0" borderId="0" xfId="0" applyFont="1" applyFill="1" applyProtection="1">
      <alignment vertical="center"/>
    </xf>
    <xf numFmtId="0" fontId="0" fillId="31" borderId="158" xfId="0" applyFill="1" applyBorder="1" applyAlignment="1" applyProtection="1">
      <alignment horizontal="center" vertical="center"/>
    </xf>
    <xf numFmtId="0" fontId="0" fillId="31" borderId="159" xfId="0" applyFill="1" applyBorder="1" applyAlignment="1" applyProtection="1">
      <alignment horizontal="center" vertical="center"/>
    </xf>
    <xf numFmtId="0" fontId="0" fillId="31" borderId="160"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61" xfId="0" applyFill="1" applyBorder="1" applyAlignment="1" applyProtection="1">
      <alignment horizontal="center" vertical="center" wrapText="1"/>
    </xf>
    <xf numFmtId="0" fontId="0" fillId="27" borderId="162"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pplyAlignment="1" applyProtection="1">
      <alignment horizontal="left" vertical="center"/>
    </xf>
    <xf numFmtId="0" fontId="0" fillId="0" borderId="0" xfId="0" applyFill="1">
      <alignment vertical="center"/>
    </xf>
    <xf numFmtId="0" fontId="0" fillId="0" borderId="0" xfId="0" applyFill="1" applyAlignment="1">
      <alignment horizontal="left" vertical="center"/>
    </xf>
    <xf numFmtId="0" fontId="48" fillId="0" borderId="0" xfId="0" applyFont="1" applyFill="1" applyAlignment="1" applyProtection="1">
      <alignment horizontal="left" vertical="center"/>
    </xf>
    <xf numFmtId="0" fontId="28" fillId="0" borderId="0" xfId="0" applyFont="1" applyAlignment="1" applyProtection="1">
      <alignment vertical="center"/>
    </xf>
    <xf numFmtId="0" fontId="33" fillId="0" borderId="57" xfId="0" applyFont="1" applyFill="1" applyBorder="1" applyAlignment="1" applyProtection="1">
      <alignment horizontal="center" vertical="center"/>
    </xf>
    <xf numFmtId="0" fontId="48" fillId="0" borderId="0" xfId="0" applyFont="1" applyFill="1" applyAlignment="1" applyProtection="1">
      <alignment horizontal="left" vertical="center"/>
      <protection hidden="1"/>
    </xf>
    <xf numFmtId="0" fontId="28" fillId="0" borderId="0" xfId="0" applyFont="1" applyFill="1" applyAlignment="1" applyProtection="1">
      <alignment vertical="center"/>
      <protection hidden="1"/>
    </xf>
    <xf numFmtId="0" fontId="149" fillId="0" borderId="0" xfId="0" applyFont="1" applyFill="1" applyAlignment="1" applyProtection="1">
      <alignment vertical="center"/>
      <protection hidden="1"/>
    </xf>
    <xf numFmtId="0" fontId="28" fillId="41" borderId="144" xfId="0" applyFont="1" applyFill="1" applyBorder="1" applyAlignment="1" applyProtection="1">
      <alignment vertical="center"/>
      <protection hidden="1"/>
    </xf>
    <xf numFmtId="0" fontId="37" fillId="0" borderId="0" xfId="0" applyFont="1" applyFill="1" applyAlignment="1" applyProtection="1">
      <alignment vertical="center"/>
      <protection hidden="1"/>
    </xf>
    <xf numFmtId="0" fontId="28" fillId="0" borderId="0" xfId="0" applyFont="1" applyFill="1" applyAlignment="1" applyProtection="1">
      <alignment horizontal="left" vertical="center"/>
      <protection hidden="1"/>
    </xf>
    <xf numFmtId="0" fontId="26" fillId="0" borderId="0" xfId="0" applyFont="1" applyFill="1" applyAlignment="1" applyProtection="1">
      <alignment vertical="center"/>
      <protection hidden="1"/>
    </xf>
    <xf numFmtId="0" fontId="45" fillId="0" borderId="0" xfId="0" applyFont="1" applyFill="1" applyAlignment="1" applyProtection="1">
      <alignment vertical="center"/>
      <protection hidden="1"/>
    </xf>
    <xf numFmtId="0" fontId="150" fillId="0" borderId="0" xfId="0" applyFont="1" applyFill="1" applyAlignment="1" applyProtection="1">
      <alignment vertical="center"/>
      <protection hidden="1"/>
    </xf>
    <xf numFmtId="0" fontId="45" fillId="0" borderId="0" xfId="0" applyFont="1" applyFill="1" applyBorder="1" applyAlignment="1" applyProtection="1">
      <alignment horizontal="left" vertical="center"/>
      <protection hidden="1"/>
    </xf>
    <xf numFmtId="0" fontId="48" fillId="0" borderId="0" xfId="0" applyFont="1" applyFill="1" applyAlignment="1" applyProtection="1">
      <alignment vertical="center"/>
      <protection hidden="1"/>
    </xf>
    <xf numFmtId="0" fontId="27" fillId="0" borderId="0" xfId="0" applyFont="1" applyFill="1" applyBorder="1" applyAlignment="1">
      <alignment horizontal="left" vertical="center"/>
    </xf>
    <xf numFmtId="0" fontId="151" fillId="0" borderId="0" xfId="0" applyFont="1" applyFill="1" applyBorder="1" applyAlignment="1" applyProtection="1">
      <alignment vertical="center"/>
      <protection hidden="1"/>
    </xf>
    <xf numFmtId="0" fontId="23" fillId="0" borderId="0" xfId="0" applyFont="1" applyFill="1" applyBorder="1" applyAlignment="1" applyProtection="1">
      <alignment horizontal="right" vertical="center"/>
      <protection hidden="1"/>
    </xf>
    <xf numFmtId="0" fontId="26" fillId="0" borderId="0" xfId="0" applyFont="1" applyFill="1" applyBorder="1" applyAlignment="1" applyProtection="1">
      <alignment horizontal="right" vertical="center"/>
      <protection hidden="1"/>
    </xf>
    <xf numFmtId="179" fontId="28" fillId="31" borderId="52" xfId="0"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centerContinuous" vertical="center"/>
      <protection hidden="1"/>
    </xf>
    <xf numFmtId="0" fontId="37" fillId="31" borderId="50" xfId="0" applyFont="1" applyFill="1" applyBorder="1" applyAlignment="1" applyProtection="1">
      <alignment horizontal="right" vertical="center"/>
      <protection hidden="1"/>
    </xf>
    <xf numFmtId="2" fontId="28" fillId="31" borderId="50" xfId="0" applyNumberFormat="1" applyFont="1" applyFill="1" applyBorder="1" applyAlignment="1" applyProtection="1">
      <alignment horizontal="left" vertical="center"/>
      <protection hidden="1"/>
    </xf>
    <xf numFmtId="179" fontId="28" fillId="31" borderId="27" xfId="0" applyNumberFormat="1" applyFont="1" applyFill="1" applyBorder="1" applyAlignment="1" applyProtection="1">
      <alignment horizontal="left" vertical="center"/>
      <protection hidden="1"/>
    </xf>
    <xf numFmtId="2" fontId="28" fillId="31" borderId="27" xfId="0" applyNumberFormat="1" applyFont="1" applyFill="1" applyBorder="1" applyAlignment="1" applyProtection="1">
      <alignment horizontal="left" vertical="center"/>
      <protection hidden="1"/>
    </xf>
    <xf numFmtId="203" fontId="26" fillId="31" borderId="144" xfId="0" applyNumberFormat="1" applyFont="1" applyFill="1" applyBorder="1" applyAlignment="1" applyProtection="1">
      <alignment horizontal="center" vertical="center"/>
      <protection locked="0" hidden="1"/>
    </xf>
    <xf numFmtId="181" fontId="28" fillId="31" borderId="56" xfId="0" applyNumberFormat="1" applyFont="1" applyFill="1" applyBorder="1" applyAlignment="1" applyProtection="1">
      <alignment horizontal="centerContinuous" vertical="center" wrapText="1"/>
      <protection hidden="1"/>
    </xf>
    <xf numFmtId="181" fontId="28" fillId="31" borderId="55" xfId="0" applyNumberFormat="1" applyFont="1" applyFill="1" applyBorder="1" applyAlignment="1" applyProtection="1">
      <alignment horizontal="center" vertical="center"/>
      <protection hidden="1"/>
    </xf>
    <xf numFmtId="181" fontId="28" fillId="31" borderId="57" xfId="0" applyNumberFormat="1" applyFont="1" applyFill="1" applyBorder="1" applyAlignment="1" applyProtection="1">
      <alignment horizontal="center" vertical="center"/>
      <protection hidden="1"/>
    </xf>
    <xf numFmtId="181" fontId="28" fillId="31" borderId="80" xfId="0" applyNumberFormat="1" applyFont="1" applyFill="1" applyBorder="1" applyAlignment="1" applyProtection="1">
      <alignment horizontal="centerContinuous" vertical="center"/>
      <protection hidden="1"/>
    </xf>
    <xf numFmtId="181" fontId="28" fillId="31" borderId="50" xfId="0" applyNumberFormat="1" applyFont="1" applyFill="1" applyBorder="1" applyAlignment="1" applyProtection="1">
      <alignment horizontal="centerContinuous" vertical="center"/>
      <protection hidden="1"/>
    </xf>
    <xf numFmtId="181" fontId="28" fillId="31" borderId="27" xfId="0" applyNumberFormat="1" applyFont="1" applyFill="1" applyBorder="1" applyAlignment="1" applyProtection="1">
      <alignment horizontal="centerContinuous" vertical="center"/>
      <protection hidden="1"/>
    </xf>
    <xf numFmtId="181" fontId="26" fillId="27" borderId="163" xfId="0" applyNumberFormat="1" applyFont="1" applyFill="1" applyBorder="1" applyAlignment="1" applyProtection="1">
      <alignment horizontal="center" vertical="center"/>
      <protection hidden="1"/>
    </xf>
    <xf numFmtId="181" fontId="28" fillId="27" borderId="164" xfId="0" applyNumberFormat="1" applyFont="1" applyFill="1" applyBorder="1" applyAlignment="1" applyProtection="1">
      <alignment horizontal="left" vertical="center" wrapText="1"/>
      <protection hidden="1"/>
    </xf>
    <xf numFmtId="181" fontId="28" fillId="27" borderId="164" xfId="0" applyNumberFormat="1" applyFont="1" applyFill="1" applyBorder="1" applyAlignment="1" applyProtection="1">
      <alignment horizontal="left" vertical="center"/>
      <protection hidden="1"/>
    </xf>
    <xf numFmtId="181" fontId="28" fillId="27" borderId="165" xfId="0" applyNumberFormat="1" applyFont="1" applyFill="1" applyBorder="1" applyAlignment="1" applyProtection="1">
      <alignment horizontal="left" vertical="center"/>
      <protection hidden="1"/>
    </xf>
    <xf numFmtId="181" fontId="28" fillId="27" borderId="166" xfId="0" applyNumberFormat="1" applyFont="1" applyFill="1" applyBorder="1" applyAlignment="1" applyProtection="1">
      <alignment horizontal="left" vertical="center"/>
      <protection hidden="1"/>
    </xf>
    <xf numFmtId="181" fontId="26" fillId="27" borderId="167" xfId="0" applyNumberFormat="1" applyFont="1" applyFill="1" applyBorder="1" applyAlignment="1" applyProtection="1">
      <alignment horizontal="center" vertical="center"/>
      <protection hidden="1"/>
    </xf>
    <xf numFmtId="181" fontId="28" fillId="27" borderId="11" xfId="0" applyNumberFormat="1" applyFont="1" applyFill="1" applyBorder="1" applyAlignment="1" applyProtection="1">
      <alignment vertical="center" shrinkToFit="1"/>
      <protection hidden="1"/>
    </xf>
    <xf numFmtId="181" fontId="28" fillId="27" borderId="14" xfId="0" applyNumberFormat="1" applyFont="1" applyFill="1" applyBorder="1" applyAlignment="1" applyProtection="1">
      <alignment vertical="center" shrinkToFit="1"/>
      <protection hidden="1"/>
    </xf>
    <xf numFmtId="181" fontId="28" fillId="27" borderId="12"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horizontal="left" vertical="center"/>
      <protection hidden="1"/>
    </xf>
    <xf numFmtId="181" fontId="28" fillId="27" borderId="13" xfId="0" applyNumberFormat="1" applyFont="1" applyFill="1" applyBorder="1" applyAlignment="1" applyProtection="1">
      <alignment horizontal="left" vertical="center"/>
      <protection hidden="1"/>
    </xf>
    <xf numFmtId="181" fontId="28" fillId="27" borderId="14" xfId="0" applyNumberFormat="1" applyFont="1" applyFill="1" applyBorder="1" applyAlignment="1" applyProtection="1">
      <alignment horizontal="left" vertical="center"/>
      <protection hidden="1"/>
    </xf>
    <xf numFmtId="181" fontId="28" fillId="27" borderId="11"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vertical="center" wrapText="1"/>
      <protection hidden="1"/>
    </xf>
    <xf numFmtId="181" fontId="28" fillId="27" borderId="11" xfId="0" applyNumberFormat="1" applyFont="1" applyFill="1" applyBorder="1" applyAlignment="1" applyProtection="1">
      <alignment vertical="center" wrapText="1"/>
      <protection hidden="1"/>
    </xf>
    <xf numFmtId="181" fontId="28" fillId="27" borderId="14" xfId="0" applyNumberFormat="1" applyFont="1" applyFill="1" applyBorder="1" applyAlignment="1" applyProtection="1">
      <alignment vertical="center" wrapText="1"/>
      <protection hidden="1"/>
    </xf>
    <xf numFmtId="181" fontId="26" fillId="27" borderId="168" xfId="0" applyNumberFormat="1" applyFont="1" applyFill="1" applyBorder="1" applyAlignment="1" applyProtection="1">
      <alignment horizontal="center" vertical="center"/>
      <protection hidden="1"/>
    </xf>
    <xf numFmtId="181" fontId="28" fillId="27" borderId="169" xfId="0" applyNumberFormat="1" applyFont="1" applyFill="1" applyBorder="1" applyAlignment="1" applyProtection="1">
      <alignment vertical="center" wrapText="1"/>
      <protection hidden="1"/>
    </xf>
    <xf numFmtId="181" fontId="28" fillId="27" borderId="168" xfId="0" applyNumberFormat="1" applyFont="1" applyFill="1" applyBorder="1" applyAlignment="1" applyProtection="1">
      <alignment vertical="center" wrapText="1"/>
      <protection hidden="1"/>
    </xf>
    <xf numFmtId="181" fontId="28" fillId="27" borderId="170" xfId="0" applyNumberFormat="1" applyFont="1" applyFill="1" applyBorder="1" applyAlignment="1" applyProtection="1">
      <alignment vertical="center" wrapText="1"/>
      <protection hidden="1"/>
    </xf>
    <xf numFmtId="181" fontId="28" fillId="27" borderId="169" xfId="0" applyNumberFormat="1" applyFont="1" applyFill="1" applyBorder="1" applyAlignment="1" applyProtection="1">
      <alignment horizontal="left" vertical="center"/>
      <protection hidden="1"/>
    </xf>
    <xf numFmtId="181" fontId="28" fillId="27" borderId="171" xfId="0" applyNumberFormat="1" applyFont="1" applyFill="1" applyBorder="1" applyAlignment="1" applyProtection="1">
      <alignment horizontal="left" vertical="center"/>
      <protection hidden="1"/>
    </xf>
    <xf numFmtId="181" fontId="28" fillId="27" borderId="170" xfId="0" applyNumberFormat="1" applyFont="1" applyFill="1" applyBorder="1" applyAlignment="1" applyProtection="1">
      <alignment horizontal="left" vertical="center"/>
      <protection hidden="1"/>
    </xf>
    <xf numFmtId="202" fontId="28" fillId="0" borderId="10" xfId="35" applyNumberFormat="1" applyFont="1" applyFill="1" applyBorder="1" applyAlignment="1" applyProtection="1">
      <alignment horizontal="center" vertical="center"/>
      <protection hidden="1"/>
    </xf>
    <xf numFmtId="0" fontId="26" fillId="0" borderId="0" xfId="0" applyFont="1" applyFill="1" applyProtection="1">
      <alignment vertical="center"/>
    </xf>
    <xf numFmtId="0" fontId="28" fillId="38" borderId="0" xfId="0" applyFont="1" applyFill="1" applyProtection="1">
      <alignment vertical="center"/>
    </xf>
    <xf numFmtId="0" fontId="28" fillId="27" borderId="10" xfId="0" applyFont="1" applyFill="1" applyBorder="1" applyProtection="1">
      <alignment vertical="center"/>
    </xf>
    <xf numFmtId="0" fontId="28" fillId="27" borderId="10" xfId="0" quotePrefix="1" applyFont="1" applyFill="1" applyBorder="1" applyAlignment="1" applyProtection="1">
      <alignment horizontal="center" vertical="center"/>
    </xf>
    <xf numFmtId="0" fontId="28" fillId="27" borderId="51" xfId="0" applyFont="1" applyFill="1" applyBorder="1" applyAlignment="1" applyProtection="1">
      <alignment horizontal="center" vertical="center"/>
    </xf>
    <xf numFmtId="0" fontId="28" fillId="27" borderId="26" xfId="0" applyFont="1" applyFill="1" applyBorder="1" applyProtection="1">
      <alignment vertical="center"/>
    </xf>
    <xf numFmtId="0" fontId="37" fillId="27" borderId="26" xfId="0" applyFont="1" applyFill="1" applyBorder="1" applyAlignment="1" applyProtection="1">
      <alignment horizontal="right" vertical="center"/>
    </xf>
    <xf numFmtId="0" fontId="37" fillId="27" borderId="50" xfId="0" applyFont="1" applyFill="1" applyBorder="1" applyAlignment="1" applyProtection="1">
      <alignment vertical="center"/>
    </xf>
    <xf numFmtId="0" fontId="37" fillId="27" borderId="50" xfId="0" applyFont="1" applyFill="1" applyBorder="1" applyAlignment="1" applyProtection="1">
      <alignment horizontal="center" vertical="center"/>
    </xf>
    <xf numFmtId="0" fontId="37" fillId="27" borderId="52" xfId="0" applyFont="1" applyFill="1" applyBorder="1" applyProtection="1">
      <alignment vertical="center"/>
    </xf>
    <xf numFmtId="0" fontId="37" fillId="27" borderId="53" xfId="0" applyFont="1" applyFill="1" applyBorder="1" applyProtection="1">
      <alignment vertical="center"/>
    </xf>
    <xf numFmtId="0" fontId="37" fillId="27" borderId="53" xfId="0" applyFont="1" applyFill="1" applyBorder="1" applyAlignment="1" applyProtection="1">
      <alignment vertical="top" wrapText="1"/>
    </xf>
    <xf numFmtId="0" fontId="37" fillId="27" borderId="53" xfId="0" applyFont="1" applyFill="1" applyBorder="1" applyAlignment="1" applyProtection="1">
      <alignment horizontal="center" vertical="top"/>
    </xf>
    <xf numFmtId="0" fontId="37" fillId="27" borderId="54" xfId="0" applyFont="1" applyFill="1" applyBorder="1" applyAlignment="1" applyProtection="1">
      <alignment horizontal="right" vertical="top" wrapText="1"/>
    </xf>
    <xf numFmtId="0" fontId="37" fillId="27" borderId="56" xfId="0" applyFont="1" applyFill="1" applyBorder="1" applyAlignment="1" applyProtection="1">
      <alignment vertical="center"/>
    </xf>
    <xf numFmtId="0" fontId="37" fillId="27" borderId="57" xfId="0" applyFont="1" applyFill="1" applyBorder="1" applyAlignment="1" applyProtection="1">
      <alignment vertical="center"/>
    </xf>
    <xf numFmtId="0" fontId="37" fillId="27" borderId="57" xfId="0" applyFont="1" applyFill="1" applyBorder="1" applyAlignment="1" applyProtection="1">
      <alignment horizontal="left" vertical="center"/>
    </xf>
    <xf numFmtId="0" fontId="37" fillId="27" borderId="57" xfId="0" applyFont="1" applyFill="1" applyBorder="1" applyAlignment="1" applyProtection="1">
      <alignment vertical="center" wrapText="1"/>
    </xf>
    <xf numFmtId="0" fontId="37" fillId="27" borderId="57" xfId="0" applyFont="1" applyFill="1" applyBorder="1" applyAlignment="1" applyProtection="1">
      <alignment horizontal="center" vertical="center"/>
    </xf>
    <xf numFmtId="0" fontId="37" fillId="27" borderId="58" xfId="0" applyFont="1" applyFill="1" applyBorder="1" applyAlignment="1" applyProtection="1">
      <alignment vertical="center" wrapText="1"/>
    </xf>
    <xf numFmtId="0" fontId="28" fillId="27" borderId="51" xfId="0" applyFont="1" applyFill="1" applyBorder="1" applyProtection="1">
      <alignment vertical="center"/>
    </xf>
    <xf numFmtId="0" fontId="37" fillId="27" borderId="54" xfId="0" applyFont="1" applyFill="1" applyBorder="1" applyProtection="1">
      <alignment vertical="center"/>
    </xf>
    <xf numFmtId="0" fontId="28" fillId="27" borderId="15" xfId="0" applyFont="1" applyFill="1" applyBorder="1" applyProtection="1">
      <alignment vertical="center"/>
    </xf>
    <xf numFmtId="0" fontId="37" fillId="27" borderId="0" xfId="0" applyFont="1" applyFill="1" applyBorder="1" applyProtection="1">
      <alignment vertical="center"/>
    </xf>
    <xf numFmtId="0" fontId="37" fillId="27" borderId="0" xfId="0" applyFont="1" applyFill="1" applyBorder="1" applyAlignment="1" applyProtection="1">
      <alignment horizontal="left" vertical="center"/>
    </xf>
    <xf numFmtId="0" fontId="37" fillId="27" borderId="0" xfId="0" applyFont="1" applyFill="1" applyBorder="1" applyAlignment="1" applyProtection="1">
      <alignment horizontal="center" vertical="center"/>
    </xf>
    <xf numFmtId="0" fontId="37" fillId="27" borderId="17" xfId="0" applyFont="1" applyFill="1" applyBorder="1" applyProtection="1">
      <alignment vertical="center"/>
    </xf>
    <xf numFmtId="0" fontId="37" fillId="27" borderId="17" xfId="0" applyFont="1" applyFill="1" applyBorder="1" applyAlignment="1" applyProtection="1">
      <alignment horizontal="center" vertical="center"/>
    </xf>
    <xf numFmtId="0" fontId="37" fillId="27" borderId="0" xfId="0" applyFont="1" applyFill="1" applyBorder="1" applyAlignment="1" applyProtection="1">
      <alignment vertical="top" wrapText="1"/>
    </xf>
    <xf numFmtId="0" fontId="37" fillId="27" borderId="57" xfId="0" applyFont="1" applyFill="1" applyBorder="1" applyProtection="1">
      <alignment vertical="center"/>
    </xf>
    <xf numFmtId="0" fontId="37" fillId="27" borderId="57" xfId="0" applyFont="1" applyFill="1" applyBorder="1" applyAlignment="1" applyProtection="1">
      <alignment horizontal="center" vertical="top" wrapText="1"/>
    </xf>
    <xf numFmtId="0" fontId="37" fillId="27" borderId="58" xfId="0" applyFont="1" applyFill="1" applyBorder="1" applyProtection="1">
      <alignment vertical="center"/>
    </xf>
    <xf numFmtId="0" fontId="37" fillId="38" borderId="0" xfId="0" applyFont="1" applyFill="1" applyProtection="1">
      <alignment vertical="center"/>
    </xf>
    <xf numFmtId="0" fontId="37" fillId="38" borderId="0" xfId="0" applyFont="1" applyFill="1" applyAlignment="1" applyProtection="1">
      <alignment horizontal="right" vertical="center"/>
    </xf>
    <xf numFmtId="0" fontId="28" fillId="38" borderId="0" xfId="0" applyFont="1" applyFill="1" applyAlignment="1" applyProtection="1">
      <alignment vertical="center"/>
      <protection hidden="1"/>
    </xf>
    <xf numFmtId="0" fontId="151" fillId="38" borderId="0" xfId="0" applyFont="1" applyFill="1" applyBorder="1" applyAlignment="1" applyProtection="1">
      <alignment vertical="center"/>
      <protection hidden="1"/>
    </xf>
    <xf numFmtId="0" fontId="26" fillId="38" borderId="0" xfId="0" applyFont="1" applyFill="1" applyBorder="1" applyAlignment="1" applyProtection="1">
      <alignment horizontal="right" vertical="center"/>
      <protection hidden="1"/>
    </xf>
    <xf numFmtId="0" fontId="150" fillId="38" borderId="0" xfId="0" applyFont="1" applyFill="1" applyBorder="1" applyAlignment="1" applyProtection="1">
      <alignment vertical="center"/>
    </xf>
    <xf numFmtId="0" fontId="23" fillId="38" borderId="0" xfId="0" applyFont="1" applyFill="1" applyBorder="1" applyAlignment="1" applyProtection="1">
      <alignment horizontal="right" vertical="center"/>
      <protection hidden="1"/>
    </xf>
    <xf numFmtId="209" fontId="26" fillId="31" borderId="144" xfId="0" applyNumberFormat="1" applyFont="1" applyFill="1" applyBorder="1" applyAlignment="1" applyProtection="1">
      <alignment horizontal="center" vertical="center"/>
      <protection hidden="1"/>
    </xf>
    <xf numFmtId="181" fontId="28" fillId="31" borderId="50" xfId="0" applyNumberFormat="1" applyFont="1" applyFill="1" applyBorder="1" applyAlignment="1" applyProtection="1">
      <alignment horizontal="center" vertical="center"/>
      <protection hidden="1"/>
    </xf>
    <xf numFmtId="181" fontId="28" fillId="31" borderId="26" xfId="0" applyNumberFormat="1" applyFont="1" applyFill="1" applyBorder="1" applyAlignment="1" applyProtection="1">
      <alignment vertical="center"/>
      <protection hidden="1"/>
    </xf>
    <xf numFmtId="181" fontId="28" fillId="27" borderId="164" xfId="0" applyNumberFormat="1" applyFont="1" applyFill="1" applyBorder="1" applyAlignment="1" applyProtection="1">
      <alignment vertical="center" wrapText="1"/>
      <protection hidden="1"/>
    </xf>
    <xf numFmtId="0" fontId="28" fillId="0" borderId="0" xfId="0" applyFont="1" applyFill="1" applyAlignment="1" applyProtection="1">
      <alignment horizontal="left"/>
      <protection hidden="1"/>
    </xf>
    <xf numFmtId="0" fontId="26" fillId="0" borderId="0" xfId="0" applyFont="1" applyFill="1" applyAlignment="1" applyProtection="1">
      <protection hidden="1"/>
    </xf>
    <xf numFmtId="0" fontId="28" fillId="38" borderId="0" xfId="0" applyFont="1" applyFill="1" applyAlignment="1" applyProtection="1">
      <protection hidden="1"/>
    </xf>
    <xf numFmtId="0" fontId="28" fillId="38" borderId="0" xfId="0" applyFont="1" applyFill="1" applyAlignment="1" applyProtection="1"/>
    <xf numFmtId="0" fontId="28" fillId="31" borderId="144" xfId="0" applyFont="1" applyFill="1" applyBorder="1" applyAlignment="1" applyProtection="1">
      <alignment horizontal="center"/>
      <protection locked="0"/>
    </xf>
    <xf numFmtId="0" fontId="28" fillId="38" borderId="0" xfId="0" applyFont="1" applyFill="1" applyBorder="1" applyAlignment="1" applyProtection="1">
      <alignment horizontal="right"/>
      <protection hidden="1"/>
    </xf>
    <xf numFmtId="0" fontId="48" fillId="0" borderId="0" xfId="0" applyFont="1" applyFill="1" applyAlignment="1" applyProtection="1">
      <alignment horizontal="left"/>
      <protection hidden="1"/>
    </xf>
    <xf numFmtId="0" fontId="48" fillId="38" borderId="0" xfId="0" applyFont="1" applyFill="1" applyAlignment="1" applyProtection="1">
      <alignment horizontal="left"/>
      <protection hidden="1"/>
    </xf>
    <xf numFmtId="0" fontId="37" fillId="31" borderId="10" xfId="0" applyFont="1" applyFill="1" applyBorder="1" applyAlignment="1" applyProtection="1">
      <alignment horizontal="center"/>
    </xf>
    <xf numFmtId="0" fontId="28" fillId="31" borderId="10" xfId="0" applyFont="1" applyFill="1" applyBorder="1" applyAlignment="1" applyProtection="1">
      <alignment horizontal="center"/>
    </xf>
    <xf numFmtId="0" fontId="28" fillId="38" borderId="0" xfId="0" applyFont="1" applyFill="1" applyAlignment="1" applyProtection="1">
      <alignment horizontal="right" vertical="center"/>
    </xf>
    <xf numFmtId="0" fontId="28" fillId="27" borderId="10" xfId="0" applyFont="1" applyFill="1" applyBorder="1" applyAlignment="1" applyProtection="1">
      <alignment horizontal="left" vertical="center"/>
      <protection locked="0"/>
    </xf>
    <xf numFmtId="209" fontId="28" fillId="31" borderId="55" xfId="0" applyNumberFormat="1" applyFont="1" applyFill="1" applyBorder="1" applyAlignment="1" applyProtection="1">
      <alignment horizontal="center" vertical="center"/>
      <protection hidden="1"/>
    </xf>
    <xf numFmtId="0" fontId="28" fillId="31" borderId="50" xfId="0" applyFont="1" applyFill="1" applyBorder="1" applyAlignment="1" applyProtection="1">
      <alignment horizontal="centerContinuous" vertical="center"/>
      <protection hidden="1"/>
    </xf>
    <xf numFmtId="0" fontId="33" fillId="31" borderId="26"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179" fontId="28" fillId="31" borderId="26" xfId="0" applyNumberFormat="1" applyFont="1" applyFill="1" applyBorder="1" applyAlignment="1" applyProtection="1">
      <alignment horizontal="right" vertical="center"/>
      <protection hidden="1"/>
    </xf>
    <xf numFmtId="193" fontId="28" fillId="31" borderId="27" xfId="0" applyNumberFormat="1" applyFont="1" applyFill="1" applyBorder="1" applyAlignment="1" applyProtection="1">
      <alignment horizontal="right" vertical="center"/>
      <protection hidden="1"/>
    </xf>
    <xf numFmtId="0" fontId="28" fillId="31" borderId="26" xfId="0" applyFont="1" applyFill="1" applyBorder="1" applyAlignment="1" applyProtection="1">
      <alignment horizontal="center" vertical="center"/>
    </xf>
    <xf numFmtId="193" fontId="28" fillId="31" borderId="27" xfId="0" applyNumberFormat="1" applyFont="1" applyFill="1" applyBorder="1" applyAlignment="1" applyProtection="1">
      <alignment vertical="center"/>
      <protection hidden="1"/>
    </xf>
    <xf numFmtId="9" fontId="28" fillId="27" borderId="172" xfId="0" applyNumberFormat="1" applyFont="1" applyFill="1" applyBorder="1" applyAlignment="1" applyProtection="1">
      <alignment horizontal="center" vertical="center"/>
      <protection locked="0" hidden="1"/>
    </xf>
    <xf numFmtId="0" fontId="28" fillId="38" borderId="0" xfId="0" applyFont="1" applyFill="1" applyAlignment="1" applyProtection="1">
      <alignment vertical="center"/>
    </xf>
    <xf numFmtId="9" fontId="28" fillId="27" borderId="173" xfId="0" applyNumberFormat="1" applyFont="1" applyFill="1" applyBorder="1" applyAlignment="1" applyProtection="1">
      <alignment horizontal="center" vertical="center"/>
      <protection locked="0" hidden="1"/>
    </xf>
    <xf numFmtId="0" fontId="37" fillId="27" borderId="80" xfId="0" applyFont="1" applyFill="1" applyBorder="1" applyAlignment="1" applyProtection="1">
      <alignment horizontal="left" vertical="center"/>
      <protection hidden="1"/>
    </xf>
    <xf numFmtId="0" fontId="6" fillId="27" borderId="27" xfId="0" applyFont="1" applyFill="1" applyBorder="1" applyAlignment="1">
      <alignment horizontal="left" vertical="center" wrapText="1"/>
    </xf>
    <xf numFmtId="0" fontId="37" fillId="27" borderId="26" xfId="0" applyFont="1" applyFill="1" applyBorder="1" applyAlignment="1" applyProtection="1">
      <alignment horizontal="left" vertical="center"/>
      <protection hidden="1"/>
    </xf>
    <xf numFmtId="179" fontId="28" fillId="31" borderId="27" xfId="0" applyNumberFormat="1" applyFont="1" applyFill="1" applyBorder="1" applyAlignment="1" applyProtection="1">
      <alignment horizontal="centerContinuous" vertical="center"/>
      <protection hidden="1"/>
    </xf>
    <xf numFmtId="0" fontId="28" fillId="31" borderId="27" xfId="0" applyFont="1" applyFill="1" applyBorder="1" applyAlignment="1" applyProtection="1">
      <alignment horizontal="centerContinuous" vertical="center"/>
      <protection hidden="1"/>
    </xf>
    <xf numFmtId="0" fontId="33" fillId="31" borderId="56" xfId="0" applyFont="1" applyFill="1" applyBorder="1" applyAlignment="1" applyProtection="1">
      <alignment horizontal="centerContinuous" vertical="center"/>
      <protection hidden="1"/>
    </xf>
    <xf numFmtId="9" fontId="28" fillId="27" borderId="174" xfId="0" applyNumberFormat="1" applyFont="1" applyFill="1" applyBorder="1" applyAlignment="1" applyProtection="1">
      <alignment horizontal="center" vertical="center"/>
      <protection locked="0" hidden="1"/>
    </xf>
    <xf numFmtId="0" fontId="26" fillId="0" borderId="55" xfId="0" applyNumberFormat="1" applyFont="1" applyFill="1" applyBorder="1" applyAlignment="1" applyProtection="1">
      <alignment horizontal="center" vertical="center"/>
      <protection hidden="1"/>
    </xf>
    <xf numFmtId="0" fontId="26" fillId="38" borderId="55" xfId="0" applyNumberFormat="1" applyFont="1" applyFill="1" applyBorder="1" applyAlignment="1" applyProtection="1">
      <alignment horizontal="center" vertical="center"/>
      <protection hidden="1"/>
    </xf>
    <xf numFmtId="0" fontId="6" fillId="38" borderId="0" xfId="0" applyFont="1" applyFill="1" applyBorder="1" applyAlignment="1">
      <alignment horizontal="left" vertical="center" wrapText="1"/>
    </xf>
    <xf numFmtId="0" fontId="26" fillId="38" borderId="0" xfId="0" applyFont="1" applyFill="1" applyAlignment="1" applyProtection="1">
      <protection hidden="1"/>
    </xf>
    <xf numFmtId="0" fontId="28" fillId="0" borderId="0" xfId="0" applyFont="1" applyAlignment="1" applyProtection="1"/>
    <xf numFmtId="181" fontId="28" fillId="31" borderId="50" xfId="0" applyNumberFormat="1" applyFont="1" applyFill="1" applyBorder="1" applyAlignment="1" applyProtection="1">
      <alignment horizontal="right" vertical="center"/>
      <protection hidden="1"/>
    </xf>
    <xf numFmtId="0" fontId="48" fillId="38" borderId="0" xfId="0" applyFont="1" applyFill="1" applyAlignment="1" applyProtection="1">
      <alignment horizontal="left" vertical="center"/>
      <protection hidden="1"/>
    </xf>
    <xf numFmtId="0" fontId="26" fillId="0" borderId="0" xfId="0" applyNumberFormat="1" applyFont="1" applyFill="1" applyBorder="1" applyAlignment="1" applyProtection="1">
      <alignment horizontal="center" vertical="center"/>
      <protection hidden="1"/>
    </xf>
    <xf numFmtId="0" fontId="45" fillId="0" borderId="0" xfId="0" applyFont="1" applyFill="1" applyAlignment="1" applyProtection="1">
      <alignment horizontal="left" vertical="center"/>
      <protection hidden="1"/>
    </xf>
    <xf numFmtId="0" fontId="151" fillId="38" borderId="0" xfId="0" applyFont="1" applyFill="1" applyAlignment="1" applyProtection="1">
      <alignment vertical="center"/>
      <protection hidden="1"/>
    </xf>
    <xf numFmtId="0" fontId="150" fillId="38" borderId="0" xfId="0" applyFont="1" applyFill="1" applyAlignment="1" applyProtection="1">
      <alignment vertical="center"/>
      <protection hidden="1"/>
    </xf>
    <xf numFmtId="0" fontId="45" fillId="38" borderId="0" xfId="0" applyFont="1" applyFill="1" applyBorder="1" applyAlignment="1" applyProtection="1">
      <alignment vertical="center"/>
      <protection hidden="1"/>
    </xf>
    <xf numFmtId="181" fontId="28" fillId="31" borderId="26" xfId="0" applyNumberFormat="1" applyFont="1" applyFill="1" applyBorder="1" applyAlignment="1" applyProtection="1">
      <alignment horizontal="centerContinuous" vertical="center"/>
      <protection hidden="1"/>
    </xf>
    <xf numFmtId="0" fontId="28" fillId="27" borderId="10" xfId="0" applyFont="1" applyFill="1" applyBorder="1" applyAlignment="1" applyProtection="1">
      <alignment vertical="center"/>
      <protection hidden="1"/>
    </xf>
    <xf numFmtId="0" fontId="28" fillId="27" borderId="51" xfId="0" applyFont="1" applyFill="1" applyBorder="1" applyAlignment="1" applyProtection="1">
      <alignment vertical="center"/>
      <protection hidden="1"/>
    </xf>
    <xf numFmtId="181" fontId="26" fillId="27" borderId="16" xfId="0" applyNumberFormat="1" applyFont="1" applyFill="1" applyBorder="1" applyAlignment="1" applyProtection="1">
      <alignment horizontal="center" vertical="center"/>
      <protection hidden="1"/>
    </xf>
    <xf numFmtId="0" fontId="28" fillId="38" borderId="0" xfId="0" applyFont="1" applyFill="1" applyAlignment="1" applyProtection="1">
      <alignment horizontal="left" vertical="center"/>
      <protection hidden="1"/>
    </xf>
    <xf numFmtId="181" fontId="28" fillId="31" borderId="58" xfId="0" applyNumberFormat="1" applyFont="1" applyFill="1" applyBorder="1" applyAlignment="1" applyProtection="1">
      <alignment horizontal="centerContinuous" vertical="center"/>
      <protection hidden="1"/>
    </xf>
    <xf numFmtId="180" fontId="28" fillId="31" borderId="50" xfId="0" applyNumberFormat="1" applyFont="1" applyFill="1" applyBorder="1" applyAlignment="1" applyProtection="1">
      <alignment horizontal="centerContinuous" vertical="center"/>
      <protection hidden="1"/>
    </xf>
    <xf numFmtId="180" fontId="28" fillId="31" borderId="27" xfId="0" applyNumberFormat="1" applyFont="1" applyFill="1" applyBorder="1" applyAlignment="1" applyProtection="1">
      <alignment horizontal="centerContinuous" vertical="center"/>
      <protection hidden="1"/>
    </xf>
    <xf numFmtId="181" fontId="28" fillId="27" borderId="175" xfId="0" applyNumberFormat="1" applyFont="1" applyFill="1" applyBorder="1" applyAlignment="1" applyProtection="1">
      <alignment horizontal="left" vertical="center"/>
      <protection hidden="1"/>
    </xf>
    <xf numFmtId="181" fontId="28" fillId="27" borderId="87" xfId="0" applyNumberFormat="1" applyFont="1" applyFill="1" applyBorder="1" applyAlignment="1" applyProtection="1">
      <alignment horizontal="left" vertical="center"/>
      <protection hidden="1"/>
    </xf>
    <xf numFmtId="181" fontId="28" fillId="27" borderId="14" xfId="0" applyNumberFormat="1" applyFont="1" applyFill="1" applyBorder="1" applyAlignment="1" applyProtection="1">
      <alignment horizontal="left" vertical="center" wrapText="1"/>
      <protection hidden="1"/>
    </xf>
    <xf numFmtId="181" fontId="28" fillId="27" borderId="13" xfId="0" applyNumberFormat="1" applyFont="1" applyFill="1" applyBorder="1" applyAlignment="1" applyProtection="1">
      <alignment horizontal="left" vertical="center" wrapText="1"/>
      <protection hidden="1"/>
    </xf>
    <xf numFmtId="181" fontId="26" fillId="0" borderId="0" xfId="0" applyNumberFormat="1" applyFont="1" applyFill="1" applyBorder="1" applyAlignment="1" applyProtection="1">
      <alignment vertical="center"/>
      <protection hidden="1"/>
    </xf>
    <xf numFmtId="181" fontId="28" fillId="0" borderId="0" xfId="0" applyNumberFormat="1" applyFont="1" applyFill="1" applyBorder="1" applyAlignment="1" applyProtection="1">
      <alignment horizontal="center" vertical="center"/>
      <protection hidden="1"/>
    </xf>
    <xf numFmtId="0" fontId="28" fillId="38" borderId="0" xfId="0" applyFont="1" applyFill="1" applyAlignment="1" applyProtection="1">
      <alignment vertical="top"/>
      <protection hidden="1"/>
    </xf>
    <xf numFmtId="0" fontId="28" fillId="0" borderId="0" xfId="0" applyFont="1" applyFill="1" applyAlignment="1" applyProtection="1">
      <alignment vertical="center"/>
    </xf>
    <xf numFmtId="0" fontId="28" fillId="38" borderId="53" xfId="0" applyFont="1" applyFill="1" applyBorder="1" applyAlignment="1" applyProtection="1">
      <alignment vertical="center"/>
      <protection hidden="1"/>
    </xf>
    <xf numFmtId="0" fontId="28" fillId="38" borderId="53" xfId="0" applyFont="1" applyFill="1" applyBorder="1" applyAlignment="1" applyProtection="1">
      <alignment horizontal="right" vertical="center"/>
      <protection hidden="1"/>
    </xf>
    <xf numFmtId="0" fontId="27" fillId="0" borderId="0" xfId="0" applyFont="1" applyFill="1" applyBorder="1" applyAlignment="1">
      <alignment vertical="center"/>
    </xf>
    <xf numFmtId="179" fontId="28" fillId="31" borderId="26" xfId="0" applyNumberFormat="1" applyFont="1" applyFill="1" applyBorder="1" applyAlignment="1" applyProtection="1">
      <alignment horizontal="left" vertical="center"/>
      <protection hidden="1"/>
    </xf>
    <xf numFmtId="0" fontId="28" fillId="31" borderId="50" xfId="0" applyFont="1" applyFill="1" applyBorder="1" applyAlignment="1" applyProtection="1">
      <alignment vertical="center"/>
    </xf>
    <xf numFmtId="179" fontId="28" fillId="31" borderId="50" xfId="0" applyNumberFormat="1" applyFont="1" applyFill="1" applyBorder="1" applyAlignment="1" applyProtection="1">
      <alignment horizontal="centerContinuous" vertical="center" wrapText="1"/>
      <protection hidden="1"/>
    </xf>
    <xf numFmtId="0" fontId="28" fillId="31" borderId="27" xfId="0" applyFont="1" applyFill="1" applyBorder="1" applyAlignment="1" applyProtection="1">
      <alignment vertical="center"/>
    </xf>
    <xf numFmtId="180" fontId="28" fillId="31" borderId="155" xfId="0" applyNumberFormat="1" applyFont="1" applyFill="1" applyBorder="1" applyAlignment="1" applyProtection="1">
      <alignment horizontal="centerContinuous" vertical="center"/>
      <protection hidden="1"/>
    </xf>
    <xf numFmtId="181" fontId="28" fillId="31" borderId="55" xfId="0" applyNumberFormat="1" applyFont="1" applyFill="1" applyBorder="1" applyAlignment="1" applyProtection="1">
      <alignment horizontal="centerContinuous" vertical="center"/>
      <protection hidden="1"/>
    </xf>
    <xf numFmtId="181" fontId="28" fillId="31" borderId="57" xfId="0" applyNumberFormat="1" applyFont="1" applyFill="1" applyBorder="1" applyAlignment="1" applyProtection="1">
      <alignment horizontal="centerContinuous" vertical="center"/>
      <protection hidden="1"/>
    </xf>
    <xf numFmtId="181" fontId="28" fillId="31" borderId="10" xfId="0" applyNumberFormat="1" applyFont="1" applyFill="1" applyBorder="1" applyAlignment="1" applyProtection="1">
      <alignment horizontal="centerContinuous" vertical="center"/>
      <protection hidden="1"/>
    </xf>
    <xf numFmtId="180" fontId="28" fillId="31" borderId="58" xfId="0" applyNumberFormat="1" applyFont="1" applyFill="1" applyBorder="1" applyAlignment="1" applyProtection="1">
      <alignment horizontal="centerContinuous" vertical="center"/>
      <protection hidden="1"/>
    </xf>
    <xf numFmtId="181" fontId="28" fillId="27" borderId="164" xfId="0" applyNumberFormat="1" applyFont="1" applyFill="1" applyBorder="1" applyAlignment="1" applyProtection="1">
      <alignment horizontal="left" vertical="center" shrinkToFit="1"/>
      <protection hidden="1"/>
    </xf>
    <xf numFmtId="181" fontId="28" fillId="27" borderId="16" xfId="0" applyNumberFormat="1" applyFont="1" applyFill="1" applyBorder="1" applyAlignment="1" applyProtection="1">
      <alignment vertical="center" wrapText="1"/>
      <protection hidden="1"/>
    </xf>
    <xf numFmtId="181" fontId="28" fillId="27" borderId="176" xfId="0" applyNumberFormat="1" applyFont="1" applyFill="1" applyBorder="1" applyAlignment="1" applyProtection="1">
      <alignment vertical="center" wrapText="1"/>
      <protection hidden="1"/>
    </xf>
    <xf numFmtId="181" fontId="28" fillId="27" borderId="177" xfId="0" applyNumberFormat="1" applyFont="1" applyFill="1" applyBorder="1" applyAlignment="1" applyProtection="1">
      <alignment vertical="center" wrapText="1"/>
      <protection hidden="1"/>
    </xf>
    <xf numFmtId="181" fontId="28" fillId="27" borderId="169" xfId="0" applyNumberFormat="1" applyFont="1" applyFill="1" applyBorder="1" applyAlignment="1" applyProtection="1">
      <alignment vertical="center"/>
      <protection hidden="1"/>
    </xf>
    <xf numFmtId="181" fontId="28" fillId="27" borderId="171" xfId="0" applyNumberFormat="1" applyFont="1" applyFill="1" applyBorder="1" applyAlignment="1" applyProtection="1">
      <alignment vertical="center" wrapText="1"/>
      <protection hidden="1"/>
    </xf>
    <xf numFmtId="181" fontId="26" fillId="0" borderId="0" xfId="0" applyNumberFormat="1" applyFont="1" applyFill="1" applyBorder="1" applyAlignment="1" applyProtection="1">
      <alignment horizontal="center" vertical="center"/>
      <protection hidden="1"/>
    </xf>
    <xf numFmtId="181" fontId="28" fillId="38" borderId="0" xfId="0" applyNumberFormat="1" applyFont="1" applyFill="1" applyBorder="1" applyAlignment="1" applyProtection="1">
      <alignment vertical="center" wrapText="1"/>
      <protection hidden="1"/>
    </xf>
    <xf numFmtId="181" fontId="26" fillId="38" borderId="0" xfId="0" applyNumberFormat="1" applyFont="1" applyFill="1" applyBorder="1" applyAlignment="1" applyProtection="1">
      <alignment horizontal="center" vertical="center"/>
      <protection hidden="1"/>
    </xf>
    <xf numFmtId="181" fontId="28" fillId="38" borderId="0" xfId="0" applyNumberFormat="1" applyFont="1" applyFill="1" applyBorder="1" applyAlignment="1" applyProtection="1">
      <alignment horizontal="left" vertical="center" wrapText="1"/>
      <protection hidden="1"/>
    </xf>
    <xf numFmtId="0" fontId="27" fillId="38" borderId="0" xfId="0" applyFont="1" applyFill="1" applyBorder="1" applyAlignment="1">
      <alignment horizontal="left" vertical="center"/>
    </xf>
    <xf numFmtId="0" fontId="28" fillId="27" borderId="178" xfId="0" applyFont="1" applyFill="1" applyBorder="1" applyAlignment="1" applyProtection="1">
      <alignment vertical="center"/>
      <protection hidden="1"/>
    </xf>
    <xf numFmtId="181" fontId="28" fillId="27" borderId="13" xfId="0" applyNumberFormat="1" applyFont="1" applyFill="1" applyBorder="1" applyAlignment="1" applyProtection="1">
      <alignment vertical="center" wrapText="1"/>
      <protection hidden="1"/>
    </xf>
    <xf numFmtId="179" fontId="28" fillId="31" borderId="27" xfId="0" applyNumberFormat="1" applyFont="1" applyFill="1" applyBorder="1" applyAlignment="1" applyProtection="1">
      <alignment horizontal="centerContinuous" vertical="center" wrapText="1"/>
      <protection hidden="1"/>
    </xf>
    <xf numFmtId="0" fontId="28" fillId="27" borderId="10" xfId="0" applyFont="1" applyFill="1" applyBorder="1" applyAlignment="1" applyProtection="1">
      <alignment horizontal="center" vertical="center"/>
      <protection hidden="1"/>
    </xf>
    <xf numFmtId="181" fontId="26" fillId="27" borderId="11" xfId="0" applyNumberFormat="1" applyFont="1" applyFill="1" applyBorder="1" applyAlignment="1" applyProtection="1">
      <alignment horizontal="center" vertical="center"/>
      <protection hidden="1"/>
    </xf>
    <xf numFmtId="181" fontId="28" fillId="27" borderId="168" xfId="0" applyNumberFormat="1" applyFont="1" applyFill="1" applyBorder="1" applyAlignment="1" applyProtection="1">
      <alignment horizontal="left" vertical="center" wrapText="1"/>
      <protection hidden="1"/>
    </xf>
    <xf numFmtId="179" fontId="28" fillId="31" borderId="26" xfId="0" applyNumberFormat="1" applyFont="1" applyFill="1" applyBorder="1" applyAlignment="1" applyProtection="1">
      <alignment horizontal="centerContinuous" vertical="center" wrapText="1"/>
      <protection hidden="1"/>
    </xf>
    <xf numFmtId="0" fontId="28" fillId="31" borderId="179" xfId="0" applyFont="1" applyFill="1" applyBorder="1" applyAlignment="1" applyProtection="1">
      <alignment horizontal="left" vertical="center"/>
      <protection hidden="1"/>
    </xf>
    <xf numFmtId="0" fontId="28" fillId="31" borderId="54" xfId="0" applyFont="1" applyFill="1" applyBorder="1" applyAlignment="1" applyProtection="1">
      <alignment horizontal="left" vertical="center"/>
      <protection hidden="1"/>
    </xf>
    <xf numFmtId="0" fontId="28" fillId="31" borderId="180" xfId="0" applyFont="1" applyFill="1" applyBorder="1" applyAlignment="1" applyProtection="1">
      <alignment horizontal="left" vertical="center"/>
      <protection hidden="1"/>
    </xf>
    <xf numFmtId="0" fontId="28" fillId="31" borderId="58" xfId="0" applyFont="1" applyFill="1" applyBorder="1" applyAlignment="1" applyProtection="1">
      <alignment horizontal="left" vertical="center"/>
      <protection hidden="1"/>
    </xf>
    <xf numFmtId="181" fontId="28" fillId="27" borderId="176" xfId="0" applyNumberFormat="1" applyFont="1" applyFill="1" applyBorder="1" applyAlignment="1" applyProtection="1">
      <alignment horizontal="left" vertical="center"/>
      <protection hidden="1"/>
    </xf>
    <xf numFmtId="181" fontId="28" fillId="27" borderId="181" xfId="0" applyNumberFormat="1" applyFont="1" applyFill="1" applyBorder="1" applyAlignment="1" applyProtection="1">
      <alignment horizontal="left" vertical="center"/>
      <protection hidden="1"/>
    </xf>
    <xf numFmtId="181" fontId="28" fillId="27" borderId="182" xfId="0" applyNumberFormat="1" applyFont="1" applyFill="1" applyBorder="1" applyAlignment="1" applyProtection="1">
      <alignment horizontal="left" vertical="center"/>
      <protection hidden="1"/>
    </xf>
    <xf numFmtId="0" fontId="37" fillId="27" borderId="183" xfId="0" applyFont="1" applyFill="1" applyBorder="1" applyAlignment="1" applyProtection="1">
      <alignment horizontal="left" vertical="center"/>
      <protection hidden="1"/>
    </xf>
    <xf numFmtId="0" fontId="37" fillId="27" borderId="14" xfId="0" applyFont="1" applyFill="1" applyBorder="1" applyAlignment="1" applyProtection="1">
      <alignment horizontal="left" vertical="center"/>
      <protection hidden="1"/>
    </xf>
    <xf numFmtId="0" fontId="28" fillId="0" borderId="0" xfId="0" applyFont="1" applyFill="1" applyBorder="1" applyAlignment="1" applyProtection="1">
      <alignment vertical="center"/>
      <protection hidden="1"/>
    </xf>
    <xf numFmtId="0" fontId="28" fillId="38" borderId="0" xfId="0" applyFont="1" applyFill="1" applyBorder="1" applyAlignment="1" applyProtection="1">
      <alignment vertical="center"/>
      <protection hidden="1"/>
    </xf>
    <xf numFmtId="181" fontId="28" fillId="27" borderId="12" xfId="0" applyNumberFormat="1" applyFont="1" applyFill="1" applyBorder="1" applyAlignment="1" applyProtection="1">
      <alignment vertical="center"/>
      <protection hidden="1"/>
    </xf>
    <xf numFmtId="181" fontId="28" fillId="27" borderId="13" xfId="0" applyNumberFormat="1" applyFont="1" applyFill="1" applyBorder="1" applyAlignment="1" applyProtection="1">
      <alignment vertical="center"/>
      <protection hidden="1"/>
    </xf>
    <xf numFmtId="181" fontId="28" fillId="0" borderId="0" xfId="0" applyNumberFormat="1" applyFont="1" applyFill="1" applyBorder="1" applyAlignment="1" applyProtection="1">
      <alignment horizontal="left" vertical="center" wrapText="1"/>
      <protection hidden="1"/>
    </xf>
    <xf numFmtId="0" fontId="48" fillId="0" borderId="0" xfId="29" applyFont="1" applyFill="1" applyAlignment="1" applyProtection="1">
      <alignment horizontal="left" vertical="center"/>
      <protection hidden="1"/>
    </xf>
    <xf numFmtId="181" fontId="28" fillId="27" borderId="164" xfId="0" applyNumberFormat="1" applyFont="1" applyFill="1" applyBorder="1" applyAlignment="1" applyProtection="1">
      <alignment vertical="center" shrinkToFit="1"/>
      <protection hidden="1"/>
    </xf>
    <xf numFmtId="0" fontId="28" fillId="27" borderId="52" xfId="0" applyFont="1" applyFill="1" applyBorder="1" applyAlignment="1" applyProtection="1">
      <alignment vertical="center"/>
      <protection hidden="1"/>
    </xf>
    <xf numFmtId="181" fontId="28" fillId="38" borderId="0" xfId="0" applyNumberFormat="1" applyFont="1" applyFill="1" applyBorder="1" applyAlignment="1" applyProtection="1">
      <alignment horizontal="left" vertical="center"/>
      <protection hidden="1"/>
    </xf>
    <xf numFmtId="181" fontId="28" fillId="38" borderId="0" xfId="0" applyNumberFormat="1" applyFont="1" applyFill="1" applyBorder="1" applyAlignment="1" applyProtection="1">
      <alignment horizontal="center" vertical="center"/>
      <protection hidden="1"/>
    </xf>
    <xf numFmtId="0" fontId="150" fillId="38" borderId="0" xfId="0" applyFont="1" applyFill="1" applyAlignment="1" applyProtection="1">
      <alignment vertical="center"/>
    </xf>
    <xf numFmtId="0" fontId="6" fillId="0" borderId="0" xfId="0" applyFont="1" applyFill="1" applyAlignment="1" applyProtection="1">
      <alignment vertical="center"/>
      <protection hidden="1"/>
    </xf>
    <xf numFmtId="0" fontId="6" fillId="38" borderId="0" xfId="0" applyFont="1" applyFill="1" applyAlignment="1" applyProtection="1">
      <alignment vertical="center"/>
      <protection hidden="1"/>
    </xf>
    <xf numFmtId="0" fontId="0" fillId="43" borderId="0" xfId="0" applyFill="1">
      <alignment vertical="center"/>
    </xf>
    <xf numFmtId="0" fontId="26" fillId="38" borderId="0" xfId="0" applyFont="1" applyFill="1" applyProtection="1">
      <alignment vertical="center"/>
      <protection hidden="1"/>
    </xf>
    <xf numFmtId="0" fontId="28" fillId="38" borderId="0" xfId="0" applyFont="1" applyFill="1" applyProtection="1">
      <alignment vertical="center"/>
      <protection hidden="1"/>
    </xf>
    <xf numFmtId="0" fontId="28" fillId="27" borderId="26" xfId="0" applyFont="1" applyFill="1" applyBorder="1" applyProtection="1">
      <alignment vertical="center"/>
      <protection hidden="1"/>
    </xf>
    <xf numFmtId="0" fontId="28" fillId="27" borderId="50" xfId="0" applyFont="1" applyFill="1" applyBorder="1" applyProtection="1">
      <alignment vertical="center"/>
      <protection hidden="1"/>
    </xf>
    <xf numFmtId="0" fontId="28" fillId="27" borderId="27" xfId="0" applyFont="1" applyFill="1" applyBorder="1" applyProtection="1">
      <alignment vertical="center"/>
      <protection hidden="1"/>
    </xf>
    <xf numFmtId="0" fontId="150" fillId="0" borderId="0" xfId="0" applyFont="1" applyFill="1" applyAlignment="1" applyProtection="1">
      <alignment vertical="center"/>
    </xf>
    <xf numFmtId="0" fontId="28" fillId="27" borderId="51" xfId="0" applyFont="1" applyFill="1" applyBorder="1" applyAlignment="1" applyProtection="1">
      <alignment vertical="center" wrapText="1"/>
      <protection hidden="1"/>
    </xf>
    <xf numFmtId="181" fontId="28" fillId="27" borderId="16" xfId="0" applyNumberFormat="1" applyFont="1" applyFill="1" applyBorder="1" applyAlignment="1" applyProtection="1">
      <alignment horizontal="left" vertical="center" wrapText="1"/>
      <protection hidden="1"/>
    </xf>
    <xf numFmtId="0" fontId="28" fillId="27" borderId="177" xfId="0" applyFont="1" applyFill="1" applyBorder="1" applyAlignment="1" applyProtection="1">
      <alignment vertical="center" shrinkToFit="1"/>
      <protection hidden="1"/>
    </xf>
    <xf numFmtId="0" fontId="28" fillId="27" borderId="11" xfId="0" applyFont="1" applyFill="1" applyBorder="1" applyAlignment="1">
      <alignment vertical="center" wrapText="1"/>
    </xf>
    <xf numFmtId="0" fontId="28" fillId="27" borderId="177" xfId="0" applyFont="1" applyFill="1" applyBorder="1" applyAlignment="1" applyProtection="1">
      <alignment vertical="center" wrapText="1"/>
      <protection hidden="1"/>
    </xf>
    <xf numFmtId="0" fontId="28" fillId="27" borderId="168" xfId="0" applyFont="1" applyFill="1" applyBorder="1" applyAlignment="1" applyProtection="1">
      <alignment vertical="center" shrinkToFit="1"/>
      <protection hidden="1"/>
    </xf>
    <xf numFmtId="0" fontId="6" fillId="38" borderId="0" xfId="0" applyFont="1" applyFill="1" applyAlignment="1" applyProtection="1">
      <alignment vertical="center"/>
    </xf>
    <xf numFmtId="0" fontId="151" fillId="38" borderId="57" xfId="0" applyFont="1" applyFill="1" applyBorder="1" applyAlignment="1" applyProtection="1">
      <alignment vertical="center"/>
      <protection hidden="1"/>
    </xf>
    <xf numFmtId="0" fontId="45" fillId="38" borderId="57" xfId="0" applyFont="1" applyFill="1" applyBorder="1" applyAlignment="1" applyProtection="1">
      <alignment vertical="center"/>
      <protection hidden="1"/>
    </xf>
    <xf numFmtId="0" fontId="37" fillId="31" borderId="26" xfId="0" applyFont="1" applyFill="1" applyBorder="1" applyAlignment="1" applyProtection="1">
      <alignment horizontal="right" vertical="center"/>
      <protection hidden="1"/>
    </xf>
    <xf numFmtId="179" fontId="28" fillId="31" borderId="10" xfId="0" applyNumberFormat="1" applyFont="1" applyFill="1" applyBorder="1" applyAlignment="1" applyProtection="1">
      <alignment horizontal="centerContinuous" vertical="center"/>
      <protection hidden="1"/>
    </xf>
    <xf numFmtId="180" fontId="28" fillId="31" borderId="80" xfId="0" applyNumberFormat="1" applyFont="1" applyFill="1" applyBorder="1" applyAlignment="1" applyProtection="1">
      <alignment horizontal="centerContinuous" vertical="center"/>
      <protection hidden="1"/>
    </xf>
    <xf numFmtId="181" fontId="26" fillId="42" borderId="163" xfId="0" applyNumberFormat="1" applyFont="1" applyFill="1" applyBorder="1" applyAlignment="1" applyProtection="1">
      <alignment horizontal="center" vertical="center"/>
      <protection hidden="1"/>
    </xf>
    <xf numFmtId="181" fontId="26" fillId="42" borderId="167" xfId="0" applyNumberFormat="1" applyFont="1" applyFill="1" applyBorder="1" applyAlignment="1" applyProtection="1">
      <alignment horizontal="center" vertical="center"/>
      <protection hidden="1"/>
    </xf>
    <xf numFmtId="181" fontId="26" fillId="42" borderId="168" xfId="0" applyNumberFormat="1" applyFont="1" applyFill="1" applyBorder="1" applyAlignment="1" applyProtection="1">
      <alignment horizontal="center" vertical="center"/>
      <protection hidden="1"/>
    </xf>
    <xf numFmtId="181" fontId="28" fillId="44" borderId="26" xfId="0" applyNumberFormat="1" applyFont="1" applyFill="1" applyBorder="1" applyAlignment="1" applyProtection="1">
      <alignment horizontal="centerContinuous" vertical="center"/>
      <protection hidden="1"/>
    </xf>
    <xf numFmtId="181" fontId="28" fillId="44" borderId="50" xfId="0" applyNumberFormat="1" applyFont="1" applyFill="1" applyBorder="1" applyAlignment="1" applyProtection="1">
      <alignment horizontal="centerContinuous" vertical="center"/>
      <protection hidden="1"/>
    </xf>
    <xf numFmtId="0" fontId="28" fillId="0" borderId="0" xfId="0" applyFont="1" applyBorder="1" applyAlignment="1" applyProtection="1">
      <alignment vertical="center"/>
      <protection hidden="1"/>
    </xf>
    <xf numFmtId="0" fontId="28" fillId="0" borderId="0" xfId="0" applyFont="1" applyProtection="1">
      <alignment vertical="center"/>
    </xf>
    <xf numFmtId="0" fontId="28" fillId="0" borderId="0" xfId="0" applyFont="1" applyFill="1" applyProtection="1">
      <alignment vertical="center"/>
    </xf>
    <xf numFmtId="0" fontId="149" fillId="0" borderId="0" xfId="0" applyFont="1" applyFill="1" applyProtection="1">
      <alignment vertical="center"/>
      <protection hidden="1"/>
    </xf>
    <xf numFmtId="0" fontId="26" fillId="0" borderId="0" xfId="0" applyFont="1" applyFill="1" applyProtection="1">
      <alignment vertical="center"/>
      <protection hidden="1"/>
    </xf>
    <xf numFmtId="0" fontId="45" fillId="0" borderId="0" xfId="0" applyFont="1" applyFill="1" applyProtection="1">
      <alignment vertical="center"/>
      <protection hidden="1"/>
    </xf>
    <xf numFmtId="0" fontId="151" fillId="0" borderId="0" xfId="0" applyFont="1" applyFill="1" applyAlignment="1" applyProtection="1">
      <alignment vertical="center"/>
      <protection hidden="1"/>
    </xf>
    <xf numFmtId="0" fontId="151" fillId="0" borderId="0" xfId="0" applyFont="1" applyFill="1" applyProtection="1">
      <alignment vertical="center"/>
      <protection hidden="1"/>
    </xf>
    <xf numFmtId="0" fontId="45"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181" fontId="26" fillId="27" borderId="175" xfId="0" applyNumberFormat="1" applyFont="1" applyFill="1" applyBorder="1" applyAlignment="1" applyProtection="1">
      <alignment horizontal="center" vertical="center"/>
      <protection hidden="1"/>
    </xf>
    <xf numFmtId="181" fontId="26" fillId="27" borderId="169" xfId="0" applyNumberFormat="1" applyFont="1" applyFill="1" applyBorder="1" applyAlignment="1" applyProtection="1">
      <alignment horizontal="center" vertical="center"/>
      <protection hidden="1"/>
    </xf>
    <xf numFmtId="181" fontId="28" fillId="31" borderId="56" xfId="0" applyNumberFormat="1" applyFont="1" applyFill="1" applyBorder="1" applyAlignment="1" applyProtection="1">
      <alignment horizontal="centerContinuous" vertical="center"/>
      <protection hidden="1"/>
    </xf>
    <xf numFmtId="0" fontId="45" fillId="38" borderId="0" xfId="0" applyFont="1" applyFill="1" applyProtection="1">
      <alignment vertical="center"/>
      <protection hidden="1"/>
    </xf>
    <xf numFmtId="0" fontId="45" fillId="38" borderId="0" xfId="0" applyFont="1" applyFill="1" applyAlignment="1" applyProtection="1">
      <alignment vertical="center"/>
      <protection hidden="1"/>
    </xf>
    <xf numFmtId="0" fontId="45" fillId="38" borderId="0" xfId="0" applyFont="1" applyFill="1" applyBorder="1" applyProtection="1">
      <alignment vertical="center"/>
      <protection hidden="1"/>
    </xf>
    <xf numFmtId="0" fontId="28" fillId="27" borderId="168" xfId="0" applyFont="1" applyFill="1" applyBorder="1" applyAlignment="1">
      <alignment vertical="center" wrapText="1"/>
    </xf>
    <xf numFmtId="181" fontId="28" fillId="0" borderId="17" xfId="0" applyNumberFormat="1" applyFont="1" applyFill="1" applyBorder="1" applyAlignment="1" applyProtection="1">
      <alignment horizontal="center" vertical="center"/>
      <protection hidden="1"/>
    </xf>
    <xf numFmtId="0" fontId="125" fillId="38" borderId="0" xfId="0" applyFont="1" applyFill="1" applyAlignment="1" applyProtection="1">
      <alignment vertical="center"/>
      <protection hidden="1"/>
    </xf>
    <xf numFmtId="0" fontId="28" fillId="38" borderId="0" xfId="0" applyFont="1" applyFill="1" applyAlignment="1" applyProtection="1">
      <alignment horizontal="center" vertical="center"/>
    </xf>
    <xf numFmtId="0" fontId="28" fillId="27" borderId="144" xfId="0" applyFont="1" applyFill="1" applyBorder="1" applyAlignment="1" applyProtection="1">
      <alignment horizontal="center" vertical="center"/>
      <protection locked="0"/>
    </xf>
    <xf numFmtId="201" fontId="26" fillId="31" borderId="92" xfId="0" applyNumberFormat="1" applyFont="1" applyFill="1" applyBorder="1" applyAlignment="1" applyProtection="1">
      <alignment horizontal="center" vertical="center"/>
      <protection hidden="1"/>
    </xf>
    <xf numFmtId="0" fontId="28" fillId="27" borderId="50" xfId="0" applyFont="1" applyFill="1" applyBorder="1" applyAlignment="1" applyProtection="1">
      <alignment horizontal="centerContinuous" vertical="center"/>
      <protection hidden="1"/>
    </xf>
    <xf numFmtId="0" fontId="28" fillId="27" borderId="10" xfId="0" applyFont="1" applyFill="1" applyBorder="1" applyAlignment="1" applyProtection="1">
      <alignment horizontal="centerContinuous" vertical="center"/>
      <protection hidden="1"/>
    </xf>
    <xf numFmtId="0" fontId="6" fillId="38" borderId="0" xfId="0" applyFont="1" applyFill="1">
      <alignment vertical="center"/>
    </xf>
    <xf numFmtId="193" fontId="28" fillId="31" borderId="54" xfId="0" applyNumberFormat="1" applyFont="1" applyFill="1" applyBorder="1" applyAlignment="1" applyProtection="1">
      <alignment horizontal="center" vertical="center"/>
      <protection hidden="1"/>
    </xf>
    <xf numFmtId="181" fontId="28" fillId="31" borderId="52" xfId="0" applyNumberFormat="1" applyFont="1" applyFill="1" applyBorder="1" applyAlignment="1" applyProtection="1">
      <alignment horizontal="centerContinuous" vertical="center"/>
      <protection hidden="1"/>
    </xf>
    <xf numFmtId="181" fontId="28" fillId="31" borderId="54" xfId="0" applyNumberFormat="1" applyFont="1" applyFill="1" applyBorder="1" applyAlignment="1" applyProtection="1">
      <alignment horizontal="centerContinuous" vertical="center"/>
      <protection hidden="1"/>
    </xf>
    <xf numFmtId="0" fontId="0" fillId="28" borderId="0" xfId="0" applyFill="1">
      <alignment vertical="center"/>
    </xf>
    <xf numFmtId="181" fontId="28" fillId="31" borderId="56" xfId="0" quotePrefix="1" applyNumberFormat="1" applyFont="1" applyFill="1" applyBorder="1" applyAlignment="1" applyProtection="1">
      <alignment horizontal="centerContinuous" vertical="center"/>
      <protection hidden="1"/>
    </xf>
    <xf numFmtId="0" fontId="28" fillId="27" borderId="164" xfId="0" applyFont="1" applyFill="1" applyBorder="1" applyAlignment="1" applyProtection="1">
      <alignment horizontal="left" vertical="center"/>
      <protection hidden="1"/>
    </xf>
    <xf numFmtId="0" fontId="28" fillId="27" borderId="165" xfId="0" applyFont="1" applyFill="1" applyBorder="1" applyAlignment="1" applyProtection="1">
      <alignment horizontal="left" vertical="center"/>
      <protection hidden="1"/>
    </xf>
    <xf numFmtId="0" fontId="28" fillId="27" borderId="166" xfId="0" applyFont="1" applyFill="1" applyBorder="1" applyAlignment="1" applyProtection="1">
      <alignment horizontal="left" vertical="center"/>
      <protection hidden="1"/>
    </xf>
    <xf numFmtId="0" fontId="28" fillId="27" borderId="12"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0" fontId="28" fillId="27" borderId="169" xfId="0" applyFont="1" applyFill="1" applyBorder="1" applyAlignment="1" applyProtection="1">
      <alignment horizontal="left" vertical="center"/>
      <protection hidden="1"/>
    </xf>
    <xf numFmtId="0" fontId="28" fillId="27" borderId="171" xfId="0" applyFont="1" applyFill="1" applyBorder="1" applyAlignment="1" applyProtection="1">
      <alignment horizontal="left" vertical="center"/>
      <protection hidden="1"/>
    </xf>
    <xf numFmtId="0" fontId="28" fillId="27" borderId="170" xfId="0" applyFont="1" applyFill="1" applyBorder="1" applyAlignment="1" applyProtection="1">
      <alignment horizontal="left" vertical="center"/>
      <protection hidden="1"/>
    </xf>
    <xf numFmtId="0" fontId="23" fillId="38" borderId="0" xfId="0" applyFont="1" applyFill="1" applyAlignment="1" applyProtection="1">
      <alignment vertical="center"/>
      <protection hidden="1"/>
    </xf>
    <xf numFmtId="0" fontId="28" fillId="38" borderId="0" xfId="0" applyFont="1" applyFill="1" applyAlignment="1" applyProtection="1">
      <alignment horizontal="left" vertical="top"/>
      <protection hidden="1"/>
    </xf>
    <xf numFmtId="0" fontId="28" fillId="27" borderId="27" xfId="0" applyFont="1" applyFill="1" applyBorder="1" applyAlignment="1" applyProtection="1">
      <alignment horizontal="centerContinuous" vertical="center"/>
      <protection hidden="1"/>
    </xf>
    <xf numFmtId="0" fontId="28" fillId="27" borderId="184" xfId="0" applyFont="1" applyFill="1" applyBorder="1" applyAlignment="1" applyProtection="1">
      <alignment vertical="center"/>
      <protection hidden="1"/>
    </xf>
    <xf numFmtId="0" fontId="28" fillId="27" borderId="165" xfId="0" applyFont="1" applyFill="1" applyBorder="1" applyAlignment="1" applyProtection="1">
      <alignment vertical="center"/>
      <protection hidden="1"/>
    </xf>
    <xf numFmtId="0" fontId="28" fillId="27" borderId="166" xfId="0" applyFont="1" applyFill="1" applyBorder="1" applyAlignment="1" applyProtection="1">
      <alignment vertical="center"/>
      <protection hidden="1"/>
    </xf>
    <xf numFmtId="0" fontId="28" fillId="27" borderId="185" xfId="0" applyFont="1" applyFill="1" applyBorder="1" applyAlignment="1" applyProtection="1">
      <alignment vertical="center"/>
      <protection hidden="1"/>
    </xf>
    <xf numFmtId="0" fontId="28" fillId="27" borderId="13" xfId="0" applyFont="1" applyFill="1" applyBorder="1" applyAlignment="1" applyProtection="1">
      <alignment vertical="center"/>
      <protection hidden="1"/>
    </xf>
    <xf numFmtId="0" fontId="28" fillId="27" borderId="14" xfId="0" applyFont="1" applyFill="1" applyBorder="1" applyAlignment="1" applyProtection="1">
      <alignment vertical="center"/>
      <protection hidden="1"/>
    </xf>
    <xf numFmtId="0" fontId="28" fillId="27" borderId="186" xfId="0" applyFont="1" applyFill="1" applyBorder="1" applyAlignment="1" applyProtection="1">
      <alignment vertical="center"/>
      <protection hidden="1"/>
    </xf>
    <xf numFmtId="0" fontId="28" fillId="27" borderId="171" xfId="0" applyFont="1" applyFill="1" applyBorder="1" applyAlignment="1" applyProtection="1">
      <alignment vertical="center"/>
      <protection hidden="1"/>
    </xf>
    <xf numFmtId="0" fontId="28" fillId="27" borderId="170" xfId="0" applyFont="1" applyFill="1" applyBorder="1" applyAlignment="1" applyProtection="1">
      <alignment vertical="center"/>
      <protection hidden="1"/>
    </xf>
    <xf numFmtId="0" fontId="150" fillId="27" borderId="56" xfId="0" applyFont="1" applyFill="1" applyBorder="1" applyAlignment="1" applyProtection="1">
      <alignment horizontal="center" vertical="center"/>
      <protection hidden="1"/>
    </xf>
    <xf numFmtId="195" fontId="45" fillId="27" borderId="50" xfId="0" applyNumberFormat="1" applyFont="1" applyFill="1" applyBorder="1" applyAlignment="1" applyProtection="1">
      <alignment horizontal="center" vertical="center" wrapText="1"/>
      <protection hidden="1"/>
    </xf>
    <xf numFmtId="0" fontId="28" fillId="27" borderId="50" xfId="0" applyFont="1" applyFill="1" applyBorder="1" applyAlignment="1" applyProtection="1">
      <alignment horizontal="center" vertical="center"/>
      <protection hidden="1"/>
    </xf>
    <xf numFmtId="196" fontId="26" fillId="27" borderId="50" xfId="0" applyNumberFormat="1" applyFont="1" applyFill="1" applyBorder="1" applyAlignment="1" applyProtection="1">
      <alignment horizontal="center" vertical="center" wrapText="1"/>
      <protection hidden="1"/>
    </xf>
    <xf numFmtId="196" fontId="26" fillId="27" borderId="27" xfId="0" applyNumberFormat="1" applyFont="1" applyFill="1" applyBorder="1" applyAlignment="1" applyProtection="1">
      <alignment horizontal="center" vertical="center" wrapText="1"/>
      <protection hidden="1"/>
    </xf>
    <xf numFmtId="0" fontId="28" fillId="27" borderId="51" xfId="0" applyFont="1" applyFill="1" applyBorder="1" applyAlignment="1" applyProtection="1">
      <alignment horizontal="center" vertical="center"/>
      <protection hidden="1"/>
    </xf>
    <xf numFmtId="206" fontId="23" fillId="39" borderId="172" xfId="0" applyNumberFormat="1" applyFont="1" applyFill="1" applyBorder="1" applyAlignment="1" applyProtection="1">
      <alignment horizontal="center" vertical="center"/>
      <protection locked="0" hidden="1"/>
    </xf>
    <xf numFmtId="0" fontId="6" fillId="27" borderId="16" xfId="0" applyFont="1" applyFill="1" applyBorder="1" applyAlignment="1" applyProtection="1">
      <alignment horizontal="center" vertical="center"/>
      <protection hidden="1"/>
    </xf>
    <xf numFmtId="206" fontId="23" fillId="39" borderId="173" xfId="0" applyNumberFormat="1" applyFont="1" applyFill="1" applyBorder="1" applyAlignment="1" applyProtection="1">
      <alignment horizontal="center" vertical="center"/>
      <protection locked="0" hidden="1"/>
    </xf>
    <xf numFmtId="0" fontId="6" fillId="27" borderId="11" xfId="0" applyFont="1" applyFill="1" applyBorder="1" applyAlignment="1" applyProtection="1">
      <alignment horizontal="center" vertical="center"/>
      <protection hidden="1"/>
    </xf>
    <xf numFmtId="206" fontId="23" fillId="39" borderId="174" xfId="0" applyNumberFormat="1" applyFont="1" applyFill="1" applyBorder="1" applyAlignment="1" applyProtection="1">
      <alignment horizontal="center" vertical="center"/>
      <protection locked="0" hidden="1"/>
    </xf>
    <xf numFmtId="0" fontId="6" fillId="27" borderId="177" xfId="0" applyFont="1" applyFill="1" applyBorder="1" applyAlignment="1" applyProtection="1">
      <alignment horizontal="center" vertical="center"/>
      <protection hidden="1"/>
    </xf>
    <xf numFmtId="178" fontId="26" fillId="27" borderId="27" xfId="0" applyNumberFormat="1" applyFont="1" applyFill="1" applyBorder="1" applyAlignment="1" applyProtection="1">
      <alignment horizontal="center" vertical="center" wrapText="1"/>
      <protection hidden="1"/>
    </xf>
    <xf numFmtId="206" fontId="23" fillId="27" borderId="172" xfId="0" applyNumberFormat="1" applyFont="1" applyFill="1" applyBorder="1" applyAlignment="1" applyProtection="1">
      <alignment horizontal="center" vertical="center"/>
      <protection locked="0" hidden="1"/>
    </xf>
    <xf numFmtId="206" fontId="23" fillId="27" borderId="173" xfId="0" applyNumberFormat="1" applyFont="1" applyFill="1" applyBorder="1" applyAlignment="1" applyProtection="1">
      <alignment horizontal="center" vertical="center"/>
      <protection locked="0" hidden="1"/>
    </xf>
    <xf numFmtId="206" fontId="23" fillId="27" borderId="174" xfId="0" applyNumberFormat="1" applyFont="1" applyFill="1" applyBorder="1" applyAlignment="1" applyProtection="1">
      <alignment horizontal="center" vertical="center"/>
      <protection locked="0" hidden="1"/>
    </xf>
    <xf numFmtId="0" fontId="28" fillId="27" borderId="54" xfId="0" applyFont="1" applyFill="1" applyBorder="1" applyAlignment="1" applyProtection="1">
      <alignment horizontal="centerContinuous" vertical="center"/>
      <protection hidden="1"/>
    </xf>
    <xf numFmtId="0" fontId="28" fillId="27" borderId="185" xfId="0" applyFont="1" applyFill="1" applyBorder="1" applyAlignment="1" applyProtection="1">
      <alignment horizontal="left" vertical="center"/>
      <protection hidden="1"/>
    </xf>
    <xf numFmtId="0" fontId="28" fillId="27" borderId="13" xfId="0" applyFont="1" applyFill="1" applyBorder="1" applyAlignment="1">
      <alignment vertical="center"/>
    </xf>
    <xf numFmtId="195" fontId="45" fillId="27" borderId="50" xfId="0" applyNumberFormat="1" applyFont="1" applyFill="1" applyBorder="1" applyAlignment="1" applyProtection="1">
      <alignment vertical="center" wrapText="1"/>
      <protection hidden="1"/>
    </xf>
    <xf numFmtId="0" fontId="0" fillId="25" borderId="0" xfId="0" applyFill="1">
      <alignment vertical="center"/>
    </xf>
    <xf numFmtId="0" fontId="28" fillId="27" borderId="10" xfId="0" quotePrefix="1" applyFont="1" applyFill="1" applyBorder="1" applyAlignment="1" applyProtection="1">
      <alignment horizontal="left" vertical="center"/>
      <protection hidden="1"/>
    </xf>
    <xf numFmtId="0" fontId="28" fillId="27" borderId="187" xfId="0" applyFont="1" applyFill="1" applyBorder="1" applyAlignment="1" applyProtection="1">
      <alignment horizontal="centerContinuous" vertical="center"/>
      <protection hidden="1"/>
    </xf>
    <xf numFmtId="0" fontId="28" fillId="27" borderId="118" xfId="0" applyFont="1" applyFill="1" applyBorder="1" applyAlignment="1" applyProtection="1">
      <alignment horizontal="centerContinuous" vertical="center"/>
      <protection hidden="1"/>
    </xf>
    <xf numFmtId="0" fontId="28" fillId="27" borderId="120" xfId="0" applyFont="1" applyFill="1" applyBorder="1" applyAlignment="1" applyProtection="1">
      <alignment horizontal="centerContinuous" vertical="center"/>
      <protection hidden="1"/>
    </xf>
    <xf numFmtId="0" fontId="33" fillId="29" borderId="0" xfId="0" applyFont="1" applyFill="1" applyBorder="1" applyAlignment="1" applyProtection="1">
      <alignment vertical="center" wrapText="1"/>
      <protection hidden="1"/>
    </xf>
    <xf numFmtId="217" fontId="23" fillId="27" borderId="92" xfId="0" applyNumberFormat="1" applyFont="1" applyFill="1" applyBorder="1" applyAlignment="1" applyProtection="1">
      <alignment horizontal="center" vertical="center"/>
      <protection locked="0" hidden="1"/>
    </xf>
    <xf numFmtId="0" fontId="6" fillId="27" borderId="51" xfId="0" quotePrefix="1" applyFont="1" applyFill="1" applyBorder="1" applyAlignment="1" applyProtection="1">
      <alignment horizontal="center" vertical="center"/>
      <protection hidden="1"/>
    </xf>
    <xf numFmtId="0" fontId="6" fillId="27" borderId="11" xfId="0" quotePrefix="1" applyFont="1" applyFill="1" applyBorder="1" applyAlignment="1" applyProtection="1">
      <alignment horizontal="center" vertical="center"/>
      <protection hidden="1"/>
    </xf>
    <xf numFmtId="0" fontId="6" fillId="27" borderId="168" xfId="0" applyFont="1" applyFill="1" applyBorder="1" applyAlignment="1" applyProtection="1">
      <alignment horizontal="center" vertical="center"/>
      <protection hidden="1"/>
    </xf>
    <xf numFmtId="217" fontId="23" fillId="27" borderId="173" xfId="0" applyNumberFormat="1" applyFont="1" applyFill="1" applyBorder="1" applyAlignment="1" applyProtection="1">
      <alignment horizontal="center" vertical="center"/>
      <protection locked="0" hidden="1"/>
    </xf>
    <xf numFmtId="0" fontId="33" fillId="38" borderId="0" xfId="0" applyFont="1" applyFill="1" applyAlignment="1" applyProtection="1">
      <alignment vertical="center"/>
      <protection hidden="1"/>
    </xf>
    <xf numFmtId="0" fontId="151" fillId="38" borderId="0" xfId="0" applyFont="1" applyFill="1" applyProtection="1">
      <alignment vertical="center"/>
      <protection hidden="1"/>
    </xf>
    <xf numFmtId="0" fontId="48" fillId="0" borderId="0" xfId="29" applyFont="1" applyFill="1" applyAlignment="1" applyProtection="1">
      <alignment horizontal="left"/>
      <protection hidden="1"/>
    </xf>
    <xf numFmtId="0" fontId="45" fillId="38" borderId="0" xfId="0" applyFont="1" applyFill="1" applyAlignment="1" applyProtection="1">
      <alignment horizontal="left" vertical="center"/>
      <protection hidden="1"/>
    </xf>
    <xf numFmtId="181" fontId="28" fillId="27" borderId="165" xfId="0" applyNumberFormat="1" applyFont="1" applyFill="1" applyBorder="1" applyAlignment="1" applyProtection="1">
      <alignment vertical="center" wrapText="1"/>
      <protection hidden="1"/>
    </xf>
    <xf numFmtId="0" fontId="28" fillId="38" borderId="0" xfId="0" applyFont="1" applyFill="1" applyBorder="1" applyProtection="1">
      <alignment vertical="center"/>
      <protection hidden="1"/>
    </xf>
    <xf numFmtId="181" fontId="28" fillId="0" borderId="0" xfId="0" applyNumberFormat="1" applyFont="1" applyFill="1" applyBorder="1" applyAlignment="1" applyProtection="1">
      <alignment vertical="center"/>
      <protection hidden="1"/>
    </xf>
    <xf numFmtId="0" fontId="28" fillId="38" borderId="0" xfId="0" applyFont="1" applyFill="1" applyBorder="1" applyProtection="1">
      <alignment vertical="center"/>
    </xf>
    <xf numFmtId="180" fontId="28" fillId="31" borderId="57" xfId="0" applyNumberFormat="1" applyFont="1" applyFill="1" applyBorder="1" applyAlignment="1" applyProtection="1">
      <alignment horizontal="centerContinuous" vertical="top"/>
      <protection hidden="1"/>
    </xf>
    <xf numFmtId="181" fontId="28" fillId="31" borderId="27" xfId="0" applyNumberFormat="1" applyFont="1" applyFill="1" applyBorder="1" applyAlignment="1" applyProtection="1">
      <alignment horizontal="centerContinuous" vertical="top"/>
      <protection hidden="1"/>
    </xf>
    <xf numFmtId="0" fontId="28" fillId="0" borderId="0" xfId="0" applyFont="1" applyFill="1" applyBorder="1" applyAlignment="1" applyProtection="1">
      <protection hidden="1"/>
    </xf>
    <xf numFmtId="181" fontId="26" fillId="38" borderId="0" xfId="0" applyNumberFormat="1" applyFont="1" applyFill="1" applyBorder="1" applyAlignment="1" applyProtection="1">
      <protection hidden="1"/>
    </xf>
    <xf numFmtId="181" fontId="28" fillId="38" borderId="0" xfId="0" applyNumberFormat="1" applyFont="1" applyFill="1" applyBorder="1" applyAlignment="1" applyProtection="1">
      <protection hidden="1"/>
    </xf>
    <xf numFmtId="0" fontId="28" fillId="38" borderId="0" xfId="0" applyFont="1" applyFill="1" applyBorder="1" applyAlignment="1" applyProtection="1">
      <protection hidden="1"/>
    </xf>
    <xf numFmtId="0" fontId="28" fillId="0" borderId="0" xfId="0" applyFont="1" applyFill="1" applyBorder="1" applyProtection="1">
      <alignment vertical="center"/>
      <protection hidden="1"/>
    </xf>
    <xf numFmtId="181" fontId="28" fillId="38" borderId="0" xfId="0" applyNumberFormat="1" applyFont="1" applyFill="1" applyBorder="1" applyAlignment="1" applyProtection="1">
      <alignment vertical="center"/>
      <protection hidden="1"/>
    </xf>
    <xf numFmtId="181" fontId="28" fillId="27" borderId="55" xfId="0" applyNumberFormat="1" applyFont="1" applyFill="1" applyBorder="1" applyAlignment="1" applyProtection="1">
      <alignment horizontal="centerContinuous" vertical="center"/>
      <protection hidden="1"/>
    </xf>
    <xf numFmtId="181" fontId="28" fillId="27" borderId="26" xfId="0" applyNumberFormat="1" applyFont="1" applyFill="1" applyBorder="1" applyAlignment="1" applyProtection="1">
      <alignment horizontal="centerContinuous" vertical="top" wrapText="1"/>
      <protection hidden="1"/>
    </xf>
    <xf numFmtId="193" fontId="28" fillId="27" borderId="27" xfId="0" applyNumberFormat="1" applyFont="1" applyFill="1" applyBorder="1" applyAlignment="1" applyProtection="1">
      <alignment horizontal="centerContinuous" vertical="center"/>
      <protection hidden="1"/>
    </xf>
    <xf numFmtId="0" fontId="28" fillId="27" borderId="10" xfId="0" applyNumberFormat="1" applyFont="1" applyFill="1" applyBorder="1" applyAlignment="1" applyProtection="1">
      <alignment horizontal="centerContinuous" vertical="center"/>
      <protection hidden="1"/>
    </xf>
    <xf numFmtId="193" fontId="28" fillId="27" borderId="26" xfId="0" applyNumberFormat="1" applyFont="1" applyFill="1" applyBorder="1" applyAlignment="1" applyProtection="1">
      <alignment horizontal="center" vertical="center"/>
      <protection hidden="1"/>
    </xf>
    <xf numFmtId="193" fontId="28" fillId="27" borderId="27" xfId="0" applyNumberFormat="1" applyFont="1" applyFill="1" applyBorder="1" applyAlignment="1" applyProtection="1">
      <alignment horizontal="center" vertical="center"/>
      <protection hidden="1"/>
    </xf>
    <xf numFmtId="0" fontId="28" fillId="27" borderId="51" xfId="0" applyNumberFormat="1" applyFont="1" applyFill="1" applyBorder="1" applyAlignment="1" applyProtection="1">
      <alignment horizontal="centerContinuous" vertical="center"/>
      <protection hidden="1"/>
    </xf>
    <xf numFmtId="201" fontId="26" fillId="27" borderId="26" xfId="0" applyNumberFormat="1" applyFont="1" applyFill="1" applyBorder="1" applyAlignment="1" applyProtection="1">
      <alignment horizontal="centerContinuous" vertical="center"/>
      <protection hidden="1"/>
    </xf>
    <xf numFmtId="194" fontId="26" fillId="27" borderId="27" xfId="0" applyNumberFormat="1" applyFont="1" applyFill="1" applyBorder="1" applyAlignment="1" applyProtection="1">
      <alignment horizontal="centerContinuous" vertical="center"/>
      <protection hidden="1"/>
    </xf>
    <xf numFmtId="194" fontId="26" fillId="27" borderId="172" xfId="0" applyNumberFormat="1" applyFont="1" applyFill="1" applyBorder="1" applyAlignment="1" applyProtection="1">
      <alignment horizontal="center" vertical="center"/>
      <protection locked="0" hidden="1"/>
    </xf>
    <xf numFmtId="0" fontId="28" fillId="27" borderId="165" xfId="0" applyFont="1" applyFill="1" applyBorder="1" applyAlignment="1" applyProtection="1">
      <alignment horizontal="left" vertical="center" wrapText="1"/>
      <protection hidden="1"/>
    </xf>
    <xf numFmtId="0" fontId="28" fillId="27" borderId="166" xfId="0" applyFont="1" applyFill="1" applyBorder="1" applyAlignment="1" applyProtection="1">
      <alignment horizontal="left" vertical="center" wrapText="1"/>
      <protection hidden="1"/>
    </xf>
    <xf numFmtId="194" fontId="26" fillId="27" borderId="173" xfId="0" applyNumberFormat="1" applyFont="1" applyFill="1" applyBorder="1" applyAlignment="1" applyProtection="1">
      <alignment horizontal="center" vertical="center"/>
      <protection locked="0" hidden="1"/>
    </xf>
    <xf numFmtId="0" fontId="26" fillId="27" borderId="115" xfId="0" applyFont="1" applyFill="1" applyBorder="1" applyAlignment="1" applyProtection="1">
      <alignment horizontal="center" vertical="center"/>
      <protection locked="0" hidden="1"/>
    </xf>
    <xf numFmtId="0" fontId="28" fillId="38" borderId="0" xfId="0" applyFont="1" applyFill="1" applyBorder="1" applyAlignment="1" applyProtection="1">
      <alignment horizontal="center" vertical="center"/>
      <protection hidden="1"/>
    </xf>
    <xf numFmtId="0" fontId="37" fillId="38" borderId="0" xfId="0" applyFont="1" applyFill="1" applyBorder="1" applyAlignment="1" applyProtection="1">
      <alignment horizontal="left" vertical="top" wrapText="1"/>
      <protection hidden="1"/>
    </xf>
    <xf numFmtId="181" fontId="28" fillId="27" borderId="10" xfId="0" applyNumberFormat="1" applyFont="1" applyFill="1" applyBorder="1" applyAlignment="1" applyProtection="1">
      <alignment horizontal="centerContinuous" vertical="center"/>
      <protection hidden="1"/>
    </xf>
    <xf numFmtId="193" fontId="28" fillId="27" borderId="50" xfId="0" applyNumberFormat="1" applyFont="1" applyFill="1" applyBorder="1" applyAlignment="1" applyProtection="1">
      <alignment horizontal="center" vertical="center"/>
      <protection hidden="1"/>
    </xf>
    <xf numFmtId="194" fontId="26" fillId="27" borderId="174" xfId="0" applyNumberFormat="1" applyFont="1" applyFill="1" applyBorder="1" applyAlignment="1" applyProtection="1">
      <alignment horizontal="center" vertical="center"/>
      <protection locked="0" hidden="1"/>
    </xf>
    <xf numFmtId="0" fontId="28" fillId="0" borderId="0" xfId="0" applyFont="1" applyFill="1" applyAlignment="1" applyProtection="1">
      <protection hidden="1"/>
    </xf>
    <xf numFmtId="181" fontId="28" fillId="27" borderId="10" xfId="0" applyNumberFormat="1" applyFont="1" applyFill="1" applyBorder="1" applyAlignment="1" applyProtection="1">
      <alignment horizontal="centerContinuous" vertical="top"/>
      <protection hidden="1"/>
    </xf>
    <xf numFmtId="181" fontId="28" fillId="27" borderId="27" xfId="0" applyNumberFormat="1" applyFont="1" applyFill="1" applyBorder="1" applyAlignment="1" applyProtection="1">
      <alignment horizontal="centerContinuous" vertical="top" wrapText="1"/>
      <protection hidden="1"/>
    </xf>
    <xf numFmtId="0" fontId="28" fillId="27" borderId="51" xfId="0" applyNumberFormat="1" applyFont="1" applyFill="1" applyBorder="1" applyAlignment="1" applyProtection="1">
      <alignment horizontal="centerContinuous" vertical="top"/>
      <protection hidden="1"/>
    </xf>
    <xf numFmtId="201" fontId="26" fillId="27" borderId="26" xfId="0" applyNumberFormat="1" applyFont="1" applyFill="1" applyBorder="1" applyAlignment="1" applyProtection="1">
      <alignment horizontal="centerContinuous" vertical="top"/>
      <protection hidden="1"/>
    </xf>
    <xf numFmtId="194" fontId="26" fillId="27" borderId="27" xfId="0" applyNumberFormat="1" applyFont="1" applyFill="1" applyBorder="1" applyAlignment="1" applyProtection="1">
      <alignment horizontal="centerContinuous" vertical="top"/>
      <protection hidden="1"/>
    </xf>
    <xf numFmtId="0" fontId="28" fillId="27" borderId="184" xfId="0" applyFont="1" applyFill="1" applyBorder="1" applyAlignment="1" applyProtection="1">
      <alignment horizontal="left" vertical="center"/>
      <protection hidden="1"/>
    </xf>
    <xf numFmtId="0" fontId="37" fillId="38" borderId="0" xfId="0" applyFont="1" applyFill="1" applyBorder="1" applyAlignment="1" applyProtection="1">
      <alignment vertical="top" wrapText="1"/>
      <protection hidden="1"/>
    </xf>
    <xf numFmtId="181" fontId="28" fillId="31" borderId="50" xfId="0" applyNumberFormat="1" applyFont="1" applyFill="1" applyBorder="1" applyAlignment="1" applyProtection="1">
      <alignment horizontal="centerContinuous" vertical="top"/>
      <protection hidden="1"/>
    </xf>
    <xf numFmtId="181" fontId="28" fillId="27" borderId="165" xfId="0" applyNumberFormat="1" applyFont="1" applyFill="1" applyBorder="1" applyAlignment="1" applyProtection="1">
      <alignment horizontal="left" vertical="top"/>
      <protection hidden="1"/>
    </xf>
    <xf numFmtId="181" fontId="28" fillId="27" borderId="13" xfId="0" applyNumberFormat="1" applyFont="1" applyFill="1" applyBorder="1" applyAlignment="1" applyProtection="1">
      <alignment horizontal="left" vertical="top"/>
      <protection hidden="1"/>
    </xf>
    <xf numFmtId="181" fontId="28" fillId="27" borderId="171" xfId="0" applyNumberFormat="1" applyFont="1" applyFill="1" applyBorder="1" applyAlignment="1" applyProtection="1">
      <alignment horizontal="left" vertical="top"/>
      <protection hidden="1"/>
    </xf>
    <xf numFmtId="200" fontId="26" fillId="31" borderId="92" xfId="0" applyNumberFormat="1" applyFont="1" applyFill="1" applyBorder="1" applyAlignment="1" applyProtection="1">
      <alignment horizontal="center" vertical="center"/>
      <protection hidden="1"/>
    </xf>
    <xf numFmtId="181" fontId="28" fillId="31" borderId="57" xfId="0" applyNumberFormat="1" applyFont="1" applyFill="1" applyBorder="1" applyAlignment="1" applyProtection="1">
      <alignment horizontal="centerContinuous" vertical="top"/>
      <protection hidden="1"/>
    </xf>
    <xf numFmtId="0" fontId="28" fillId="27" borderId="165" xfId="0" applyFont="1" applyFill="1" applyBorder="1" applyAlignment="1">
      <alignment vertical="center"/>
    </xf>
    <xf numFmtId="0" fontId="28" fillId="27" borderId="166" xfId="0" applyFont="1" applyFill="1" applyBorder="1" applyAlignment="1">
      <alignment vertical="center"/>
    </xf>
    <xf numFmtId="0" fontId="28" fillId="27" borderId="14" xfId="0" applyFont="1" applyFill="1" applyBorder="1" applyAlignment="1">
      <alignment vertical="center"/>
    </xf>
    <xf numFmtId="0" fontId="6" fillId="38" borderId="0" xfId="0" applyFont="1" applyFill="1" applyBorder="1" applyAlignment="1" applyProtection="1">
      <alignment vertical="top" wrapText="1"/>
      <protection hidden="1"/>
    </xf>
    <xf numFmtId="181" fontId="28" fillId="27" borderId="166" xfId="0" applyNumberFormat="1" applyFont="1" applyFill="1" applyBorder="1" applyAlignment="1" applyProtection="1">
      <alignment horizontal="left" vertical="top"/>
      <protection hidden="1"/>
    </xf>
    <xf numFmtId="181" fontId="28" fillId="27" borderId="14" xfId="0" applyNumberFormat="1" applyFont="1" applyFill="1" applyBorder="1" applyAlignment="1" applyProtection="1">
      <alignment horizontal="left" vertical="top"/>
      <protection hidden="1"/>
    </xf>
    <xf numFmtId="181" fontId="28" fillId="27" borderId="170" xfId="0" applyNumberFormat="1" applyFont="1" applyFill="1" applyBorder="1" applyAlignment="1" applyProtection="1">
      <alignment horizontal="left" vertical="top"/>
      <protection hidden="1"/>
    </xf>
    <xf numFmtId="0" fontId="37" fillId="38" borderId="0" xfId="0" applyFont="1" applyFill="1" applyAlignment="1" applyProtection="1">
      <alignment horizontal="right" vertical="center"/>
      <protection hidden="1"/>
    </xf>
    <xf numFmtId="0" fontId="37" fillId="38" borderId="57" xfId="0" applyFont="1" applyFill="1" applyBorder="1" applyAlignment="1" applyProtection="1">
      <alignment horizontal="left" vertical="center"/>
      <protection hidden="1"/>
    </xf>
    <xf numFmtId="0" fontId="37" fillId="38" borderId="53" xfId="0" applyFont="1" applyFill="1" applyBorder="1" applyAlignment="1" applyProtection="1">
      <alignment horizontal="left" vertical="center"/>
      <protection hidden="1"/>
    </xf>
    <xf numFmtId="0" fontId="37" fillId="38" borderId="0" xfId="0" applyFont="1" applyFill="1" applyAlignment="1" applyProtection="1">
      <alignment horizontal="left" vertical="center"/>
      <protection hidden="1"/>
    </xf>
    <xf numFmtId="0" fontId="37" fillId="38" borderId="0" xfId="0" applyFont="1" applyFill="1" applyAlignment="1" applyProtection="1">
      <alignment horizontal="centerContinuous" vertical="center"/>
      <protection hidden="1"/>
    </xf>
    <xf numFmtId="0" fontId="48" fillId="0" borderId="0" xfId="0" applyFont="1" applyFill="1" applyBorder="1" applyAlignment="1" applyProtection="1">
      <alignment horizontal="left" vertical="center"/>
      <protection hidden="1"/>
    </xf>
    <xf numFmtId="181" fontId="37" fillId="38" borderId="0" xfId="0" applyNumberFormat="1" applyFont="1" applyFill="1" applyBorder="1" applyAlignment="1" applyProtection="1">
      <alignment vertical="top" wrapText="1"/>
      <protection hidden="1"/>
    </xf>
    <xf numFmtId="0" fontId="94" fillId="0" borderId="0" xfId="0" applyFont="1" applyFill="1" applyProtection="1">
      <alignment vertical="center"/>
      <protection hidden="1"/>
    </xf>
    <xf numFmtId="0" fontId="28" fillId="0" borderId="0" xfId="0" applyFont="1" applyProtection="1">
      <alignment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left" vertical="top"/>
      <protection hidden="1"/>
    </xf>
    <xf numFmtId="0" fontId="28" fillId="0" borderId="0" xfId="0" applyFont="1" applyFill="1" applyAlignment="1" applyProtection="1">
      <alignment horizontal="left" vertical="top"/>
      <protection hidden="1"/>
    </xf>
    <xf numFmtId="0" fontId="72" fillId="0" borderId="0" xfId="0" applyFont="1" applyAlignment="1" applyProtection="1">
      <alignment horizontal="left" vertical="center"/>
      <protection hidden="1"/>
    </xf>
    <xf numFmtId="0" fontId="148" fillId="0" borderId="0" xfId="0" applyFont="1" applyFill="1" applyProtection="1">
      <alignment vertical="center"/>
      <protection hidden="1"/>
    </xf>
    <xf numFmtId="0" fontId="149" fillId="0" borderId="0" xfId="0" applyFont="1" applyProtection="1">
      <alignment vertical="center"/>
      <protection hidden="1"/>
    </xf>
    <xf numFmtId="0" fontId="26" fillId="0" borderId="0" xfId="0" applyFont="1" applyFill="1" applyAlignment="1" applyProtection="1">
      <alignment horizontal="center" vertical="center"/>
      <protection hidden="1"/>
    </xf>
    <xf numFmtId="0" fontId="149" fillId="0" borderId="0" xfId="0" applyFont="1" applyFill="1" applyAlignment="1" applyProtection="1">
      <alignment horizontal="left" vertical="top"/>
      <protection hidden="1"/>
    </xf>
    <xf numFmtId="0" fontId="150" fillId="0" borderId="0" xfId="0" applyFont="1" applyFill="1" applyProtection="1">
      <alignment vertical="center"/>
      <protection hidden="1"/>
    </xf>
    <xf numFmtId="2" fontId="28" fillId="31" borderId="27" xfId="0" applyNumberFormat="1" applyFont="1" applyFill="1" applyBorder="1" applyAlignment="1" applyProtection="1">
      <alignment horizontal="center" vertical="center"/>
      <protection hidden="1"/>
    </xf>
    <xf numFmtId="199" fontId="26" fillId="31" borderId="144" xfId="0" applyNumberFormat="1" applyFont="1" applyFill="1" applyBorder="1" applyAlignment="1" applyProtection="1">
      <alignment horizontal="center" vertical="center"/>
      <protection hidden="1"/>
    </xf>
    <xf numFmtId="181" fontId="28" fillId="31" borderId="58" xfId="0" applyNumberFormat="1" applyFont="1" applyFill="1" applyBorder="1" applyAlignment="1" applyProtection="1">
      <alignment horizontal="center" vertical="center"/>
      <protection hidden="1"/>
    </xf>
    <xf numFmtId="0" fontId="125" fillId="0" borderId="0" xfId="0" applyFont="1" applyFill="1" applyAlignment="1" applyProtection="1">
      <alignment vertical="center"/>
      <protection hidden="1"/>
    </xf>
    <xf numFmtId="0" fontId="23" fillId="0" borderId="0" xfId="0" applyFont="1" applyFill="1" applyAlignment="1" applyProtection="1">
      <alignment vertical="center"/>
      <protection hidden="1"/>
    </xf>
    <xf numFmtId="0" fontId="28" fillId="27" borderId="51" xfId="0" applyFont="1" applyFill="1" applyBorder="1" applyAlignment="1" applyProtection="1">
      <alignment horizontal="center" vertical="center" wrapText="1"/>
      <protection hidden="1"/>
    </xf>
    <xf numFmtId="0" fontId="28" fillId="27" borderId="27" xfId="0" applyFont="1" applyFill="1" applyBorder="1" applyAlignment="1" applyProtection="1">
      <alignment horizontal="center" vertical="center"/>
      <protection hidden="1"/>
    </xf>
    <xf numFmtId="206" fontId="23" fillId="31" borderId="92" xfId="0" applyNumberFormat="1" applyFont="1" applyFill="1" applyBorder="1" applyAlignment="1" applyProtection="1">
      <alignment horizontal="center" vertical="center"/>
      <protection locked="0" hidden="1"/>
    </xf>
    <xf numFmtId="0" fontId="6" fillId="27" borderId="16" xfId="0" quotePrefix="1" applyFont="1" applyFill="1" applyBorder="1" applyAlignment="1" applyProtection="1">
      <alignment horizontal="center" vertical="center" wrapText="1"/>
      <protection hidden="1"/>
    </xf>
    <xf numFmtId="206" fontId="23" fillId="31" borderId="188" xfId="0" applyNumberFormat="1" applyFont="1" applyFill="1" applyBorder="1" applyAlignment="1" applyProtection="1">
      <alignment horizontal="center" vertical="center"/>
      <protection locked="0" hidden="1"/>
    </xf>
    <xf numFmtId="0" fontId="28" fillId="27" borderId="13" xfId="0" applyFont="1" applyFill="1" applyBorder="1" applyAlignment="1" applyProtection="1">
      <alignment horizontal="left" vertical="center" wrapText="1"/>
      <protection hidden="1"/>
    </xf>
    <xf numFmtId="0" fontId="28" fillId="27" borderId="14" xfId="0" applyFont="1" applyFill="1" applyBorder="1" applyAlignment="1" applyProtection="1">
      <alignment horizontal="left" vertical="center" wrapText="1"/>
      <protection hidden="1"/>
    </xf>
    <xf numFmtId="0" fontId="6" fillId="27" borderId="14" xfId="0" quotePrefix="1" applyFont="1" applyFill="1" applyBorder="1" applyAlignment="1" applyProtection="1">
      <alignment horizontal="center" vertical="center" wrapText="1"/>
      <protection hidden="1"/>
    </xf>
    <xf numFmtId="0" fontId="28" fillId="27" borderId="181" xfId="0" applyFont="1" applyFill="1" applyBorder="1" applyAlignment="1" applyProtection="1">
      <alignment horizontal="left" vertical="center" wrapText="1"/>
      <protection hidden="1"/>
    </xf>
    <xf numFmtId="206" fontId="23" fillId="31" borderId="173" xfId="0" applyNumberFormat="1" applyFont="1" applyFill="1" applyBorder="1" applyAlignment="1" applyProtection="1">
      <alignment horizontal="center" vertical="center"/>
      <protection locked="0" hidden="1"/>
    </xf>
    <xf numFmtId="0" fontId="28" fillId="27" borderId="171" xfId="0" applyFont="1" applyFill="1" applyBorder="1" applyAlignment="1" applyProtection="1">
      <alignment horizontal="left" vertical="center" wrapText="1"/>
      <protection hidden="1"/>
    </xf>
    <xf numFmtId="0" fontId="28" fillId="27" borderId="170" xfId="0" applyFont="1" applyFill="1" applyBorder="1" applyAlignment="1" applyProtection="1">
      <alignment horizontal="left" vertical="center" wrapText="1"/>
      <protection hidden="1"/>
    </xf>
    <xf numFmtId="0" fontId="28" fillId="27" borderId="176" xfId="0" applyFont="1" applyFill="1" applyBorder="1" applyAlignment="1" applyProtection="1">
      <alignment horizontal="left" vertical="center"/>
      <protection hidden="1"/>
    </xf>
    <xf numFmtId="0" fontId="6" fillId="27" borderId="177" xfId="0" applyFont="1" applyFill="1" applyBorder="1" applyAlignment="1" applyProtection="1">
      <alignment horizontal="center" vertical="center" wrapText="1"/>
      <protection hidden="1"/>
    </xf>
    <xf numFmtId="0" fontId="150" fillId="0" borderId="0" xfId="0" applyFont="1" applyFill="1" applyAlignment="1" applyProtection="1">
      <alignment horizontal="left" vertical="top"/>
      <protection hidden="1"/>
    </xf>
    <xf numFmtId="199" fontId="26" fillId="31" borderId="92" xfId="0" applyNumberFormat="1" applyFont="1" applyFill="1" applyBorder="1" applyAlignment="1" applyProtection="1">
      <alignment horizontal="center" vertical="center"/>
      <protection hidden="1"/>
    </xf>
    <xf numFmtId="207" fontId="23" fillId="31" borderId="172" xfId="0" applyNumberFormat="1" applyFont="1" applyFill="1" applyBorder="1" applyAlignment="1" applyProtection="1">
      <alignment horizontal="center" vertical="center"/>
      <protection locked="0" hidden="1"/>
    </xf>
    <xf numFmtId="0" fontId="6" fillId="27" borderId="16" xfId="0" applyFont="1" applyFill="1" applyBorder="1" applyAlignment="1" applyProtection="1">
      <alignment horizontal="center" vertical="center" wrapText="1"/>
      <protection hidden="1"/>
    </xf>
    <xf numFmtId="207" fontId="23" fillId="31" borderId="173" xfId="0" applyNumberFormat="1" applyFont="1" applyFill="1" applyBorder="1" applyAlignment="1" applyProtection="1">
      <alignment horizontal="center" vertical="center"/>
      <protection locked="0" hidden="1"/>
    </xf>
    <xf numFmtId="207" fontId="23" fillId="31" borderId="188" xfId="0" applyNumberFormat="1" applyFont="1" applyFill="1" applyBorder="1" applyAlignment="1" applyProtection="1">
      <alignment horizontal="center" vertical="center"/>
      <protection locked="0" hidden="1"/>
    </xf>
    <xf numFmtId="0" fontId="6" fillId="27" borderId="15" xfId="0" applyFont="1" applyFill="1" applyBorder="1" applyAlignment="1" applyProtection="1">
      <alignment horizontal="center" vertical="center" wrapText="1"/>
      <protection hidden="1"/>
    </xf>
    <xf numFmtId="0" fontId="6" fillId="27" borderId="167" xfId="0" applyFont="1" applyFill="1" applyBorder="1" applyAlignment="1" applyProtection="1">
      <alignment horizontal="center" vertical="center" wrapText="1"/>
      <protection hidden="1"/>
    </xf>
    <xf numFmtId="176" fontId="6" fillId="27" borderId="15" xfId="0" applyNumberFormat="1" applyFont="1" applyFill="1" applyBorder="1" applyAlignment="1" applyProtection="1">
      <alignment horizontal="center" vertical="center" wrapText="1"/>
      <protection hidden="1"/>
    </xf>
    <xf numFmtId="0" fontId="6" fillId="27" borderId="167" xfId="0" applyFont="1" applyFill="1" applyBorder="1" applyAlignment="1" applyProtection="1">
      <alignment horizontal="center" vertical="center"/>
      <protection hidden="1"/>
    </xf>
    <xf numFmtId="0" fontId="6" fillId="27" borderId="11" xfId="0" applyFont="1" applyFill="1" applyBorder="1" applyAlignment="1">
      <alignment horizontal="center" vertical="center" wrapText="1"/>
    </xf>
    <xf numFmtId="207" fontId="23" fillId="31" borderId="174" xfId="0" applyNumberFormat="1" applyFont="1" applyFill="1" applyBorder="1" applyAlignment="1" applyProtection="1">
      <alignment horizontal="center" vertical="center"/>
      <protection locked="0" hidden="1"/>
    </xf>
    <xf numFmtId="0" fontId="6" fillId="27" borderId="168" xfId="0" applyFont="1" applyFill="1" applyBorder="1" applyAlignment="1">
      <alignment horizontal="center" vertical="center" wrapText="1"/>
    </xf>
    <xf numFmtId="0" fontId="48" fillId="0" borderId="0" xfId="0" applyFont="1" applyFill="1" applyAlignment="1">
      <alignment horizontal="left" vertical="center"/>
    </xf>
    <xf numFmtId="0" fontId="28" fillId="0" borderId="0" xfId="0" applyFont="1" applyFill="1">
      <alignment vertical="center"/>
    </xf>
    <xf numFmtId="0" fontId="28" fillId="0" borderId="0" xfId="0" applyFont="1" applyFill="1" applyAlignment="1">
      <alignment vertical="center"/>
    </xf>
    <xf numFmtId="0" fontId="26" fillId="0" borderId="0" xfId="0" applyFont="1" applyFill="1" applyAlignment="1" applyProtection="1">
      <alignment horizontal="right" vertical="center"/>
      <protection hidden="1"/>
    </xf>
    <xf numFmtId="0" fontId="48" fillId="0" borderId="0" xfId="0" applyFont="1" applyAlignment="1">
      <alignment horizontal="left" vertical="center"/>
    </xf>
    <xf numFmtId="0" fontId="150" fillId="0" borderId="0" xfId="0" applyFont="1" applyFill="1">
      <alignment vertical="center"/>
    </xf>
    <xf numFmtId="0" fontId="28" fillId="31" borderId="50" xfId="0" applyFont="1" applyFill="1" applyBorder="1" applyAlignment="1">
      <alignment horizontal="centerContinuous" vertical="center"/>
    </xf>
    <xf numFmtId="0" fontId="28" fillId="31" borderId="55" xfId="0" applyFont="1" applyFill="1" applyBorder="1">
      <alignment vertical="center"/>
    </xf>
    <xf numFmtId="181" fontId="28" fillId="31" borderId="50" xfId="0" applyNumberFormat="1" applyFont="1" applyFill="1" applyBorder="1" applyAlignment="1" applyProtection="1">
      <alignment horizontal="left" vertical="center"/>
      <protection hidden="1"/>
    </xf>
    <xf numFmtId="181" fontId="28" fillId="31" borderId="56" xfId="0" applyNumberFormat="1" applyFont="1" applyFill="1" applyBorder="1" applyAlignment="1" applyProtection="1">
      <alignment horizontal="left" vertical="center"/>
      <protection hidden="1"/>
    </xf>
    <xf numFmtId="0" fontId="28" fillId="31" borderId="0" xfId="0" applyFont="1" applyFill="1" applyAlignment="1">
      <alignment vertical="center"/>
    </xf>
    <xf numFmtId="181" fontId="26" fillId="27" borderId="175" xfId="0" applyNumberFormat="1" applyFont="1" applyFill="1" applyBorder="1" applyAlignment="1" applyProtection="1">
      <alignment horizontal="centerContinuous" vertical="center"/>
      <protection hidden="1"/>
    </xf>
    <xf numFmtId="181" fontId="26" fillId="27" borderId="12" xfId="0" applyNumberFormat="1" applyFont="1" applyFill="1" applyBorder="1" applyAlignment="1" applyProtection="1">
      <alignment horizontal="centerContinuous" vertical="center"/>
      <protection hidden="1"/>
    </xf>
    <xf numFmtId="181" fontId="26" fillId="27" borderId="56" xfId="0" applyNumberFormat="1" applyFont="1" applyFill="1" applyBorder="1" applyAlignment="1" applyProtection="1">
      <alignment horizontal="centerContinuous" vertical="center"/>
      <protection hidden="1"/>
    </xf>
    <xf numFmtId="0" fontId="23" fillId="0" borderId="0" xfId="0" applyFont="1" applyFill="1" applyAlignment="1" applyProtection="1">
      <alignment horizontal="left" vertical="center"/>
      <protection hidden="1"/>
    </xf>
    <xf numFmtId="0" fontId="26" fillId="0" borderId="0" xfId="0" applyFont="1" applyFill="1" applyAlignment="1" applyProtection="1">
      <alignment horizontal="left" vertical="center"/>
      <protection hidden="1"/>
    </xf>
    <xf numFmtId="0" fontId="28" fillId="27" borderId="50" xfId="0" applyFont="1" applyFill="1" applyBorder="1" applyAlignment="1" applyProtection="1">
      <alignment horizontal="left" vertical="center"/>
      <protection hidden="1"/>
    </xf>
    <xf numFmtId="181" fontId="28" fillId="31" borderId="53" xfId="0" applyNumberFormat="1" applyFont="1" applyFill="1" applyBorder="1" applyAlignment="1" applyProtection="1">
      <alignment horizontal="centerContinuous" vertical="center"/>
      <protection hidden="1"/>
    </xf>
    <xf numFmtId="0" fontId="26" fillId="0" borderId="0" xfId="0" applyFont="1">
      <alignment vertical="center"/>
    </xf>
    <xf numFmtId="181" fontId="28" fillId="29" borderId="0" xfId="0" applyNumberFormat="1" applyFont="1" applyFill="1" applyBorder="1" applyAlignment="1" applyProtection="1">
      <alignment vertical="center"/>
    </xf>
    <xf numFmtId="0" fontId="28" fillId="0" borderId="0" xfId="0" applyFont="1" applyFill="1" applyAlignment="1" applyProtection="1">
      <alignment horizontal="right" vertical="center"/>
      <protection hidden="1"/>
    </xf>
    <xf numFmtId="0" fontId="23" fillId="0" borderId="0" xfId="0" applyFont="1" applyFill="1">
      <alignment vertical="center"/>
    </xf>
    <xf numFmtId="176" fontId="28" fillId="31" borderId="26" xfId="0" applyNumberFormat="1" applyFont="1" applyFill="1" applyBorder="1" applyAlignment="1" applyProtection="1">
      <alignment horizontal="centerContinuous" vertical="center"/>
      <protection hidden="1"/>
    </xf>
    <xf numFmtId="176" fontId="28" fillId="31" borderId="53" xfId="0" applyNumberFormat="1" applyFont="1" applyFill="1" applyBorder="1" applyAlignment="1" applyProtection="1">
      <alignment horizontal="centerContinuous" vertical="center"/>
      <protection hidden="1"/>
    </xf>
    <xf numFmtId="188" fontId="26" fillId="27" borderId="144" xfId="35" applyNumberFormat="1" applyFont="1" applyFill="1" applyBorder="1" applyAlignment="1" applyProtection="1">
      <alignment horizontal="center" vertical="center"/>
      <protection locked="0"/>
    </xf>
    <xf numFmtId="0" fontId="33" fillId="27" borderId="10" xfId="0" applyNumberFormat="1" applyFont="1" applyFill="1" applyBorder="1" applyAlignment="1" applyProtection="1">
      <alignment horizontal="center" vertical="center"/>
      <protection hidden="1"/>
    </xf>
    <xf numFmtId="0" fontId="28" fillId="27" borderId="51" xfId="0" applyFont="1" applyFill="1" applyBorder="1" applyProtection="1">
      <alignment vertical="center"/>
      <protection hidden="1"/>
    </xf>
    <xf numFmtId="0" fontId="28" fillId="27" borderId="26" xfId="0" applyFont="1" applyFill="1" applyBorder="1" applyAlignment="1" applyProtection="1">
      <alignment horizontal="left" vertical="center"/>
      <protection hidden="1"/>
    </xf>
    <xf numFmtId="0" fontId="28" fillId="27" borderId="50" xfId="0" applyFont="1" applyFill="1" applyBorder="1" applyAlignment="1" applyProtection="1">
      <alignment horizontal="center"/>
      <protection hidden="1"/>
    </xf>
    <xf numFmtId="0" fontId="28" fillId="27" borderId="27" xfId="0" applyFont="1" applyFill="1" applyBorder="1" applyAlignment="1" applyProtection="1">
      <alignment horizontal="center"/>
      <protection hidden="1"/>
    </xf>
    <xf numFmtId="0" fontId="28" fillId="27" borderId="16" xfId="0" applyFont="1" applyFill="1" applyBorder="1" applyAlignment="1" applyProtection="1">
      <alignment horizontal="center" vertical="center"/>
      <protection hidden="1"/>
    </xf>
    <xf numFmtId="0" fontId="28" fillId="27" borderId="11" xfId="0" applyFont="1" applyFill="1" applyBorder="1" applyAlignment="1" applyProtection="1">
      <alignment horizontal="center" vertical="center"/>
      <protection hidden="1"/>
    </xf>
    <xf numFmtId="0" fontId="28" fillId="27" borderId="55" xfId="0" applyFont="1" applyFill="1" applyBorder="1" applyAlignment="1" applyProtection="1">
      <alignment horizontal="center" vertical="center"/>
      <protection hidden="1"/>
    </xf>
    <xf numFmtId="194" fontId="26" fillId="27" borderId="174" xfId="0" applyNumberFormat="1" applyFont="1" applyFill="1" applyBorder="1" applyAlignment="1" applyProtection="1">
      <alignment horizontal="center" vertical="center"/>
      <protection locked="0"/>
    </xf>
    <xf numFmtId="0" fontId="28" fillId="27" borderId="56" xfId="0" applyFont="1" applyFill="1" applyBorder="1" applyAlignment="1" applyProtection="1">
      <alignment horizontal="left" vertical="center"/>
      <protection hidden="1"/>
    </xf>
    <xf numFmtId="0" fontId="48" fillId="0" borderId="0" xfId="0" applyFont="1" applyAlignment="1">
      <alignment horizontal="right" vertical="center"/>
    </xf>
    <xf numFmtId="199" fontId="26" fillId="31" borderId="10" xfId="0" applyNumberFormat="1" applyFont="1" applyFill="1" applyBorder="1" applyAlignment="1" applyProtection="1">
      <alignment horizontal="centerContinuous" vertical="center"/>
      <protection hidden="1"/>
    </xf>
    <xf numFmtId="181" fontId="26" fillId="27" borderId="55" xfId="0" applyNumberFormat="1" applyFont="1" applyFill="1" applyBorder="1" applyAlignment="1" applyProtection="1">
      <alignment horizontal="center" vertical="center"/>
      <protection hidden="1"/>
    </xf>
    <xf numFmtId="0" fontId="6" fillId="0" borderId="0" xfId="0" applyFont="1" applyFill="1">
      <alignment vertical="center"/>
    </xf>
    <xf numFmtId="177" fontId="28" fillId="27" borderId="87" xfId="0" applyNumberFormat="1" applyFont="1" applyFill="1" applyBorder="1" applyAlignment="1" applyProtection="1">
      <alignment horizontal="left" vertical="center"/>
      <protection hidden="1"/>
    </xf>
    <xf numFmtId="181" fontId="26" fillId="27" borderId="167" xfId="0" applyNumberFormat="1" applyFont="1" applyFill="1" applyBorder="1" applyAlignment="1" applyProtection="1">
      <alignment horizontal="centerContinuous" vertical="center"/>
      <protection hidden="1"/>
    </xf>
    <xf numFmtId="181" fontId="26" fillId="27" borderId="11" xfId="0" applyNumberFormat="1" applyFont="1" applyFill="1" applyBorder="1" applyAlignment="1" applyProtection="1">
      <alignment horizontal="centerContinuous" vertical="center"/>
      <protection hidden="1"/>
    </xf>
    <xf numFmtId="181" fontId="26" fillId="27" borderId="55" xfId="0" applyNumberFormat="1" applyFont="1" applyFill="1" applyBorder="1" applyAlignment="1" applyProtection="1">
      <alignment horizontal="centerContinuous" vertical="center"/>
      <protection hidden="1"/>
    </xf>
    <xf numFmtId="0" fontId="28" fillId="31" borderId="53" xfId="0" applyFont="1" applyFill="1" applyBorder="1" applyAlignment="1" applyProtection="1">
      <alignment horizontal="centerContinuous" vertical="center"/>
      <protection hidden="1"/>
    </xf>
    <xf numFmtId="0" fontId="28" fillId="27" borderId="26" xfId="0" applyFont="1" applyFill="1" applyBorder="1" applyAlignment="1">
      <alignment horizontal="center" vertical="center"/>
    </xf>
    <xf numFmtId="0" fontId="28" fillId="27" borderId="50" xfId="0" applyFont="1" applyFill="1" applyBorder="1" applyAlignment="1">
      <alignment horizontal="center" vertical="center"/>
    </xf>
    <xf numFmtId="0" fontId="28" fillId="27" borderId="27" xfId="0" applyFont="1" applyFill="1" applyBorder="1" applyAlignment="1">
      <alignment horizontal="center" vertical="center"/>
    </xf>
    <xf numFmtId="0" fontId="28" fillId="27" borderId="26" xfId="0" applyFont="1" applyFill="1" applyBorder="1" applyAlignment="1">
      <alignment horizontal="centerContinuous" vertical="center"/>
    </xf>
    <xf numFmtId="0" fontId="28" fillId="27" borderId="27" xfId="0" applyFont="1" applyFill="1" applyBorder="1" applyAlignment="1">
      <alignment horizontal="centerContinuous" vertical="center"/>
    </xf>
    <xf numFmtId="0" fontId="28" fillId="27" borderId="10" xfId="0" applyFont="1" applyFill="1" applyBorder="1" applyAlignment="1">
      <alignment horizontal="center" vertical="center" wrapText="1"/>
    </xf>
    <xf numFmtId="0" fontId="28" fillId="27" borderId="26" xfId="0" applyFont="1" applyFill="1" applyBorder="1" applyAlignment="1">
      <alignment horizontal="left" vertical="center"/>
    </xf>
    <xf numFmtId="0" fontId="28" fillId="27" borderId="50" xfId="0" applyFont="1" applyFill="1" applyBorder="1" applyAlignment="1">
      <alignment horizontal="left" vertical="center"/>
    </xf>
    <xf numFmtId="0" fontId="28" fillId="27" borderId="27" xfId="0" applyFont="1" applyFill="1" applyBorder="1" applyAlignment="1">
      <alignment horizontal="left" vertical="center"/>
    </xf>
    <xf numFmtId="0" fontId="28" fillId="27" borderId="55" xfId="0" applyFont="1" applyFill="1" applyBorder="1" applyAlignment="1" applyProtection="1">
      <alignment vertical="center"/>
      <protection hidden="1"/>
    </xf>
    <xf numFmtId="0" fontId="6" fillId="0" borderId="57" xfId="0" applyFont="1" applyFill="1" applyBorder="1" applyAlignment="1" applyProtection="1">
      <alignment horizontal="center" vertical="center"/>
    </xf>
    <xf numFmtId="0" fontId="0" fillId="0" borderId="17" xfId="0" applyBorder="1">
      <alignment vertical="center"/>
    </xf>
    <xf numFmtId="0" fontId="33" fillId="27" borderId="10" xfId="0" applyFont="1" applyFill="1" applyBorder="1" applyAlignment="1">
      <alignment vertical="center" shrinkToFit="1"/>
    </xf>
    <xf numFmtId="0" fontId="0" fillId="0" borderId="0" xfId="0" applyBorder="1">
      <alignment vertical="center"/>
    </xf>
    <xf numFmtId="0" fontId="125" fillId="0" borderId="0" xfId="0" applyFont="1" applyFill="1" applyAlignment="1" applyProtection="1">
      <alignment horizontal="left" vertical="center"/>
      <protection hidden="1"/>
    </xf>
    <xf numFmtId="0" fontId="33" fillId="27" borderId="26" xfId="0" applyFont="1" applyFill="1" applyBorder="1" applyAlignment="1" applyProtection="1">
      <alignment horizontal="left" vertical="center"/>
      <protection hidden="1"/>
    </xf>
    <xf numFmtId="0" fontId="33" fillId="27" borderId="10" xfId="0" applyFont="1" applyFill="1" applyBorder="1" applyAlignment="1">
      <alignment horizontal="left" vertical="center" shrinkToFit="1"/>
    </xf>
    <xf numFmtId="38" fontId="6" fillId="0" borderId="0" xfId="35">
      <alignment vertical="center"/>
    </xf>
    <xf numFmtId="0" fontId="28" fillId="27" borderId="64" xfId="0" applyFont="1" applyFill="1" applyBorder="1">
      <alignment vertical="center"/>
    </xf>
    <xf numFmtId="0" fontId="33" fillId="0" borderId="57" xfId="0" applyFont="1" applyFill="1" applyBorder="1" applyAlignment="1" applyProtection="1">
      <alignment horizontal="center" vertical="top"/>
    </xf>
    <xf numFmtId="0" fontId="28" fillId="0" borderId="0" xfId="0" applyFont="1" applyFill="1" applyAlignment="1" applyProtection="1">
      <alignment vertical="top"/>
    </xf>
    <xf numFmtId="0" fontId="72" fillId="0" borderId="0" xfId="0" applyFont="1" applyAlignment="1">
      <alignment horizontal="left" vertical="center"/>
    </xf>
    <xf numFmtId="0" fontId="28" fillId="0" borderId="0" xfId="0" applyFont="1" applyFill="1" applyAlignment="1" applyProtection="1">
      <alignment vertical="top"/>
      <protection hidden="1"/>
    </xf>
    <xf numFmtId="0" fontId="150" fillId="0" borderId="0" xfId="0" applyFont="1" applyFill="1" applyAlignment="1" applyProtection="1">
      <alignment vertical="top"/>
      <protection hidden="1"/>
    </xf>
    <xf numFmtId="0" fontId="150" fillId="0" borderId="0" xfId="0" applyFont="1" applyFill="1" applyProtection="1">
      <alignment vertical="center"/>
    </xf>
    <xf numFmtId="181" fontId="37" fillId="27" borderId="166" xfId="0" applyNumberFormat="1" applyFont="1" applyFill="1" applyBorder="1" applyAlignment="1" applyProtection="1">
      <alignment vertical="top"/>
      <protection hidden="1"/>
    </xf>
    <xf numFmtId="181" fontId="37" fillId="27" borderId="17" xfId="0" applyNumberFormat="1" applyFont="1" applyFill="1" applyBorder="1" applyAlignment="1" applyProtection="1">
      <alignment vertical="top"/>
      <protection hidden="1"/>
    </xf>
    <xf numFmtId="181" fontId="37" fillId="27" borderId="182" xfId="0" applyNumberFormat="1" applyFont="1" applyFill="1" applyBorder="1" applyAlignment="1" applyProtection="1">
      <alignment vertical="top"/>
      <protection hidden="1"/>
    </xf>
    <xf numFmtId="181" fontId="37" fillId="27" borderId="170" xfId="0" applyNumberFormat="1" applyFont="1" applyFill="1" applyBorder="1" applyAlignment="1" applyProtection="1">
      <alignment vertical="top"/>
      <protection hidden="1"/>
    </xf>
    <xf numFmtId="0" fontId="37" fillId="0" borderId="0" xfId="0" applyFont="1" applyFill="1" applyAlignment="1" applyProtection="1">
      <alignment horizontal="right" vertical="center"/>
      <protection hidden="1"/>
    </xf>
    <xf numFmtId="0" fontId="37" fillId="0" borderId="0" xfId="0" applyFont="1" applyFill="1" applyBorder="1" applyAlignment="1" applyProtection="1">
      <alignment horizontal="left" vertical="center"/>
      <protection hidden="1"/>
    </xf>
    <xf numFmtId="0" fontId="151" fillId="0" borderId="0" xfId="0" applyFont="1" applyFill="1" applyAlignment="1" applyProtection="1">
      <alignment vertical="top"/>
      <protection hidden="1"/>
    </xf>
    <xf numFmtId="181" fontId="28" fillId="31" borderId="82" xfId="0" applyNumberFormat="1" applyFont="1" applyFill="1" applyBorder="1" applyAlignment="1" applyProtection="1">
      <alignment horizontal="centerContinuous" vertical="center"/>
      <protection hidden="1"/>
    </xf>
    <xf numFmtId="0" fontId="37" fillId="0" borderId="57" xfId="0" applyFont="1" applyFill="1" applyBorder="1" applyAlignment="1" applyProtection="1">
      <alignment horizontal="centerContinuous" vertical="center"/>
      <protection hidden="1"/>
    </xf>
    <xf numFmtId="0" fontId="45" fillId="0" borderId="0" xfId="0" applyFont="1" applyFill="1" applyAlignment="1" applyProtection="1">
      <alignment horizontal="left" vertical="top"/>
      <protection hidden="1"/>
    </xf>
    <xf numFmtId="0" fontId="37" fillId="0" borderId="0" xfId="0" applyFont="1" applyFill="1" applyAlignment="1" applyProtection="1">
      <alignment horizontal="left" vertical="center"/>
      <protection hidden="1"/>
    </xf>
    <xf numFmtId="0" fontId="37" fillId="0" borderId="0" xfId="0" applyFont="1" applyFill="1" applyAlignment="1" applyProtection="1">
      <alignment horizontal="left" vertical="top"/>
      <protection hidden="1"/>
    </xf>
    <xf numFmtId="0" fontId="48" fillId="0" borderId="0" xfId="0" applyFont="1" applyAlignment="1" applyProtection="1">
      <alignment horizontal="left" vertical="center"/>
      <protection hidden="1"/>
    </xf>
    <xf numFmtId="181" fontId="28" fillId="44" borderId="27" xfId="0" applyNumberFormat="1" applyFont="1" applyFill="1" applyBorder="1" applyAlignment="1" applyProtection="1">
      <alignment horizontal="centerContinuous" vertical="center"/>
      <protection hidden="1"/>
    </xf>
    <xf numFmtId="181" fontId="28" fillId="42" borderId="164" xfId="0" applyNumberFormat="1" applyFont="1" applyFill="1" applyBorder="1" applyAlignment="1" applyProtection="1">
      <alignment horizontal="left" vertical="center"/>
      <protection hidden="1"/>
    </xf>
    <xf numFmtId="0" fontId="28" fillId="42" borderId="166" xfId="0" applyFont="1" applyFill="1" applyBorder="1" applyAlignment="1" applyProtection="1">
      <alignment horizontal="left" vertical="center" wrapText="1"/>
      <protection hidden="1"/>
    </xf>
    <xf numFmtId="181" fontId="28" fillId="42" borderId="12" xfId="0" applyNumberFormat="1" applyFont="1" applyFill="1" applyBorder="1" applyAlignment="1" applyProtection="1">
      <alignment horizontal="left" vertical="center"/>
      <protection hidden="1"/>
    </xf>
    <xf numFmtId="0" fontId="28" fillId="42" borderId="14" xfId="0" applyFont="1" applyFill="1" applyBorder="1" applyAlignment="1" applyProtection="1">
      <alignment horizontal="left" vertical="center" wrapText="1"/>
      <protection hidden="1"/>
    </xf>
    <xf numFmtId="0" fontId="29" fillId="0" borderId="0" xfId="0" applyFont="1" applyFill="1" applyAlignment="1" applyProtection="1">
      <alignment horizontal="left" vertical="center"/>
      <protection hidden="1"/>
    </xf>
    <xf numFmtId="0" fontId="28" fillId="27" borderId="52" xfId="0" applyFont="1" applyFill="1" applyBorder="1" applyAlignment="1" applyProtection="1">
      <alignment horizontal="center" vertical="center"/>
      <protection hidden="1"/>
    </xf>
    <xf numFmtId="0" fontId="28" fillId="27" borderId="53" xfId="0" applyFont="1" applyFill="1" applyBorder="1" applyAlignment="1" applyProtection="1">
      <alignment horizontal="center" vertical="top"/>
      <protection hidden="1"/>
    </xf>
    <xf numFmtId="0" fontId="28" fillId="27" borderId="53" xfId="0" applyFont="1" applyFill="1" applyBorder="1" applyAlignment="1" applyProtection="1">
      <alignment horizontal="center" vertical="center"/>
      <protection hidden="1"/>
    </xf>
    <xf numFmtId="0" fontId="28" fillId="27" borderId="165" xfId="0" applyFont="1" applyFill="1" applyBorder="1" applyAlignment="1" applyProtection="1">
      <alignment horizontal="left" vertical="top" wrapText="1"/>
      <protection hidden="1"/>
    </xf>
    <xf numFmtId="0" fontId="28" fillId="27" borderId="13" xfId="0" applyFont="1" applyFill="1" applyBorder="1" applyAlignment="1" applyProtection="1">
      <alignment horizontal="left" vertical="top" wrapText="1"/>
      <protection hidden="1"/>
    </xf>
    <xf numFmtId="0" fontId="28" fillId="27" borderId="181" xfId="0" applyFont="1" applyFill="1" applyBorder="1" applyAlignment="1" applyProtection="1">
      <alignment horizontal="left" vertical="top" wrapText="1"/>
      <protection hidden="1"/>
    </xf>
    <xf numFmtId="196" fontId="26" fillId="27" borderId="50" xfId="0" applyNumberFormat="1" applyFont="1" applyFill="1" applyBorder="1" applyAlignment="1" applyProtection="1">
      <alignment horizontal="center" vertical="top" wrapText="1"/>
      <protection hidden="1"/>
    </xf>
    <xf numFmtId="0" fontId="156" fillId="0" borderId="0" xfId="0" applyFont="1" applyFill="1" applyAlignment="1" applyProtection="1">
      <alignment vertical="center"/>
      <protection hidden="1"/>
    </xf>
    <xf numFmtId="0" fontId="37" fillId="0" borderId="0" xfId="0" applyFont="1" applyFill="1" applyBorder="1" applyAlignment="1" applyProtection="1">
      <alignment horizontal="justify"/>
      <protection hidden="1"/>
    </xf>
    <xf numFmtId="0" fontId="37" fillId="0" borderId="0" xfId="0" applyFont="1" applyFill="1" applyBorder="1" applyAlignment="1" applyProtection="1">
      <alignment horizontal="left"/>
      <protection hidden="1"/>
    </xf>
    <xf numFmtId="0" fontId="37" fillId="0" borderId="0" xfId="0" applyFont="1" applyFill="1" applyBorder="1" applyAlignment="1" applyProtection="1">
      <alignment horizontal="left" vertical="top"/>
      <protection hidden="1"/>
    </xf>
    <xf numFmtId="0" fontId="34" fillId="0" borderId="0" xfId="0" applyFont="1" applyFill="1" applyAlignment="1" applyProtection="1">
      <alignment horizontal="left" vertical="center"/>
      <protection hidden="1"/>
    </xf>
    <xf numFmtId="0" fontId="28" fillId="27" borderId="189" xfId="0" applyFont="1" applyFill="1" applyBorder="1" applyAlignment="1" applyProtection="1">
      <alignment horizontal="centerContinuous" vertical="center"/>
      <protection hidden="1"/>
    </xf>
    <xf numFmtId="0" fontId="28" fillId="27" borderId="190" xfId="0" applyFont="1" applyFill="1" applyBorder="1" applyAlignment="1">
      <alignment horizontal="centerContinuous" vertical="center"/>
    </xf>
    <xf numFmtId="0" fontId="28" fillId="27" borderId="191" xfId="0" applyFont="1" applyFill="1" applyBorder="1" applyAlignment="1">
      <alignment horizontal="centerContinuous" vertical="top"/>
    </xf>
    <xf numFmtId="0" fontId="28" fillId="27" borderId="192" xfId="0" applyFont="1" applyFill="1" applyBorder="1" applyAlignment="1" applyProtection="1">
      <alignment vertical="center"/>
      <protection hidden="1"/>
    </xf>
    <xf numFmtId="0" fontId="28" fillId="27" borderId="193" xfId="0" applyFont="1" applyFill="1" applyBorder="1" applyAlignment="1">
      <alignment vertical="center"/>
    </xf>
    <xf numFmtId="0" fontId="28" fillId="27" borderId="193" xfId="0" applyFont="1" applyFill="1" applyBorder="1" applyAlignment="1" applyProtection="1">
      <alignment vertical="center"/>
    </xf>
    <xf numFmtId="0" fontId="28" fillId="27" borderId="193" xfId="0" applyFont="1" applyFill="1" applyBorder="1" applyAlignment="1">
      <alignment vertical="top"/>
    </xf>
    <xf numFmtId="0" fontId="28" fillId="27" borderId="194" xfId="0" applyFont="1" applyFill="1" applyBorder="1" applyAlignment="1">
      <alignment vertical="top"/>
    </xf>
    <xf numFmtId="0" fontId="29" fillId="27" borderId="12" xfId="0" applyFont="1" applyFill="1" applyBorder="1" applyAlignment="1" applyProtection="1">
      <alignment vertical="center"/>
      <protection hidden="1"/>
    </xf>
    <xf numFmtId="0" fontId="28" fillId="27" borderId="13" xfId="0" applyFont="1" applyFill="1" applyBorder="1" applyAlignment="1" applyProtection="1">
      <alignment vertical="center"/>
    </xf>
    <xf numFmtId="0" fontId="28" fillId="27" borderId="13" xfId="0" applyFont="1" applyFill="1" applyBorder="1" applyProtection="1">
      <alignment vertical="center"/>
    </xf>
    <xf numFmtId="0" fontId="28" fillId="27" borderId="14" xfId="0" applyFont="1" applyFill="1" applyBorder="1" applyAlignment="1" applyProtection="1">
      <alignment vertical="center"/>
    </xf>
    <xf numFmtId="0" fontId="28" fillId="27" borderId="13" xfId="0" applyFont="1" applyFill="1" applyBorder="1" applyAlignment="1">
      <alignment vertical="top"/>
    </xf>
    <xf numFmtId="0" fontId="28" fillId="27" borderId="14" xfId="0" applyFont="1" applyFill="1" applyBorder="1" applyAlignment="1">
      <alignment vertical="top"/>
    </xf>
    <xf numFmtId="0" fontId="29" fillId="27" borderId="175" xfId="0" applyFont="1" applyFill="1" applyBorder="1" applyAlignment="1" applyProtection="1">
      <alignment vertical="center"/>
      <protection hidden="1"/>
    </xf>
    <xf numFmtId="0" fontId="28" fillId="27" borderId="87" xfId="0" applyFont="1" applyFill="1" applyBorder="1" applyAlignment="1" applyProtection="1">
      <alignment vertical="center"/>
    </xf>
    <xf numFmtId="0" fontId="28" fillId="27" borderId="87" xfId="0" applyFont="1" applyFill="1" applyBorder="1" applyProtection="1">
      <alignment vertical="center"/>
    </xf>
    <xf numFmtId="0" fontId="28" fillId="27" borderId="87" xfId="0" applyFont="1" applyFill="1" applyBorder="1" applyAlignment="1">
      <alignment vertical="center"/>
    </xf>
    <xf numFmtId="0" fontId="28" fillId="27" borderId="87" xfId="0" applyFont="1" applyFill="1" applyBorder="1" applyAlignment="1">
      <alignment vertical="top"/>
    </xf>
    <xf numFmtId="0" fontId="28" fillId="27" borderId="175" xfId="0" applyFont="1" applyFill="1" applyBorder="1" applyAlignment="1" applyProtection="1">
      <alignment vertical="center"/>
      <protection hidden="1"/>
    </xf>
    <xf numFmtId="0" fontId="28" fillId="27" borderId="169" xfId="0" applyFont="1" applyFill="1" applyBorder="1" applyAlignment="1" applyProtection="1">
      <alignment vertical="center"/>
      <protection hidden="1"/>
    </xf>
    <xf numFmtId="0" fontId="28" fillId="27" borderId="171" xfId="0" applyFont="1" applyFill="1" applyBorder="1" applyAlignment="1">
      <alignment vertical="center"/>
    </xf>
    <xf numFmtId="0" fontId="28" fillId="27" borderId="171" xfId="0" applyFont="1" applyFill="1" applyBorder="1" applyProtection="1">
      <alignment vertical="center"/>
    </xf>
    <xf numFmtId="0" fontId="28" fillId="27" borderId="171" xfId="0" applyFont="1" applyFill="1" applyBorder="1" applyAlignment="1">
      <alignment vertical="top"/>
    </xf>
    <xf numFmtId="0" fontId="28" fillId="27" borderId="170" xfId="0" applyFont="1" applyFill="1" applyBorder="1" applyAlignment="1">
      <alignment vertical="top"/>
    </xf>
    <xf numFmtId="0" fontId="28" fillId="0" borderId="0" xfId="0" applyFont="1">
      <alignment vertical="center"/>
    </xf>
    <xf numFmtId="0" fontId="37" fillId="0" borderId="0" xfId="0" applyFont="1">
      <alignment vertical="center"/>
    </xf>
    <xf numFmtId="0" fontId="37" fillId="0" borderId="0" xfId="0" applyFont="1" applyFill="1" applyBorder="1" applyAlignment="1" applyProtection="1">
      <alignment vertical="center"/>
      <protection hidden="1"/>
    </xf>
    <xf numFmtId="0" fontId="27" fillId="0" borderId="0" xfId="0" applyFont="1" applyFill="1" applyAlignment="1" applyProtection="1">
      <alignment horizontal="left" vertical="center"/>
      <protection hidden="1"/>
    </xf>
    <xf numFmtId="0" fontId="48" fillId="0" borderId="0" xfId="0" applyFont="1" applyFill="1" applyAlignment="1" applyProtection="1">
      <alignment horizontal="left" vertical="top"/>
      <protection hidden="1"/>
    </xf>
    <xf numFmtId="181" fontId="28" fillId="27" borderId="189" xfId="0" applyNumberFormat="1" applyFont="1" applyFill="1" applyBorder="1" applyAlignment="1" applyProtection="1">
      <alignment horizontal="left" vertical="center"/>
      <protection hidden="1"/>
    </xf>
    <xf numFmtId="181" fontId="28" fillId="27" borderId="190" xfId="0" applyNumberFormat="1" applyFont="1" applyFill="1" applyBorder="1" applyAlignment="1" applyProtection="1">
      <alignment horizontal="left" vertical="center"/>
      <protection hidden="1"/>
    </xf>
    <xf numFmtId="181" fontId="28" fillId="27" borderId="191" xfId="0" applyNumberFormat="1" applyFont="1" applyFill="1" applyBorder="1" applyAlignment="1" applyProtection="1">
      <alignment horizontal="left" vertical="center"/>
      <protection hidden="1"/>
    </xf>
    <xf numFmtId="181" fontId="28" fillId="27" borderId="195" xfId="0" applyNumberFormat="1" applyFont="1" applyFill="1" applyBorder="1" applyAlignment="1" applyProtection="1">
      <alignment horizontal="left" vertical="center"/>
      <protection hidden="1"/>
    </xf>
    <xf numFmtId="0" fontId="157" fillId="0" borderId="0" xfId="0" applyFont="1" applyFill="1" applyAlignment="1" applyProtection="1">
      <alignment horizontal="left" vertical="center"/>
      <protection hidden="1"/>
    </xf>
    <xf numFmtId="181" fontId="37" fillId="0" borderId="0" xfId="0" applyNumberFormat="1" applyFont="1" applyFill="1" applyBorder="1" applyAlignment="1" applyProtection="1">
      <alignment horizontal="left" vertical="top"/>
      <protection hidden="1"/>
    </xf>
    <xf numFmtId="0" fontId="150" fillId="0" borderId="0" xfId="0" applyFont="1" applyProtection="1">
      <alignment vertical="center"/>
    </xf>
    <xf numFmtId="0" fontId="28" fillId="0" borderId="0" xfId="0" applyFont="1" applyFill="1" applyBorder="1" applyAlignment="1" applyProtection="1">
      <alignment horizontal="right"/>
      <protection hidden="1"/>
    </xf>
    <xf numFmtId="0" fontId="26" fillId="0" borderId="144" xfId="0" applyNumberFormat="1" applyFont="1" applyFill="1" applyBorder="1" applyAlignment="1" applyProtection="1">
      <alignment horizontal="center" vertical="center"/>
      <protection hidden="1"/>
    </xf>
    <xf numFmtId="0" fontId="28" fillId="27" borderId="27" xfId="0" applyFont="1" applyFill="1" applyBorder="1" applyAlignment="1" applyProtection="1">
      <alignment vertical="center"/>
    </xf>
    <xf numFmtId="0" fontId="26" fillId="0" borderId="0" xfId="0" applyFont="1" applyFill="1" applyBorder="1" applyAlignment="1" applyProtection="1">
      <alignment vertical="center"/>
      <protection hidden="1"/>
    </xf>
    <xf numFmtId="0" fontId="28" fillId="0" borderId="0" xfId="0" applyFont="1" applyAlignment="1" applyProtection="1">
      <alignment vertical="top"/>
    </xf>
    <xf numFmtId="0" fontId="28" fillId="0" borderId="17" xfId="0" applyFont="1" applyFill="1" applyBorder="1" applyAlignment="1" applyProtection="1">
      <protection hidden="1"/>
    </xf>
    <xf numFmtId="0" fontId="28" fillId="27" borderId="54" xfId="0" applyFont="1" applyFill="1" applyBorder="1" applyAlignment="1" applyProtection="1">
      <alignment horizontal="center" vertical="center"/>
      <protection hidden="1"/>
    </xf>
    <xf numFmtId="0" fontId="28" fillId="27" borderId="0" xfId="0" applyFont="1" applyFill="1" applyBorder="1" applyAlignment="1" applyProtection="1">
      <alignment horizontal="center" vertical="center"/>
      <protection hidden="1"/>
    </xf>
    <xf numFmtId="0" fontId="28" fillId="27" borderId="54" xfId="0" applyFont="1" applyFill="1" applyBorder="1" applyAlignment="1" applyProtection="1">
      <alignment horizontal="center" vertical="top"/>
      <protection hidden="1"/>
    </xf>
    <xf numFmtId="0" fontId="37" fillId="0" borderId="17" xfId="0" applyFont="1" applyFill="1" applyBorder="1" applyAlignment="1" applyProtection="1">
      <alignment vertical="center"/>
      <protection hidden="1"/>
    </xf>
    <xf numFmtId="0" fontId="28" fillId="27" borderId="58" xfId="0" applyFont="1" applyFill="1" applyBorder="1" applyAlignment="1" applyProtection="1">
      <alignment horizontal="center" vertical="center"/>
      <protection hidden="1"/>
    </xf>
    <xf numFmtId="0" fontId="28" fillId="27" borderId="56" xfId="0" applyFont="1" applyFill="1" applyBorder="1" applyAlignment="1" applyProtection="1">
      <alignment horizontal="center" vertical="center"/>
      <protection hidden="1"/>
    </xf>
    <xf numFmtId="0" fontId="28" fillId="27" borderId="57" xfId="0" applyFont="1" applyFill="1" applyBorder="1" applyAlignment="1" applyProtection="1">
      <alignment horizontal="center" vertical="center"/>
      <protection hidden="1"/>
    </xf>
    <xf numFmtId="0" fontId="28" fillId="27" borderId="58" xfId="0" applyFont="1" applyFill="1" applyBorder="1" applyAlignment="1" applyProtection="1">
      <alignment horizontal="center" vertical="top"/>
      <protection hidden="1"/>
    </xf>
    <xf numFmtId="0" fontId="28" fillId="0" borderId="17" xfId="0" applyFont="1" applyFill="1" applyBorder="1" applyAlignment="1" applyProtection="1">
      <alignment vertical="center"/>
      <protection hidden="1"/>
    </xf>
    <xf numFmtId="0" fontId="28" fillId="27" borderId="16" xfId="0" applyFont="1" applyFill="1" applyBorder="1" applyAlignment="1" applyProtection="1">
      <alignment horizontal="center" vertical="center"/>
      <protection locked="0" hidden="1"/>
    </xf>
    <xf numFmtId="0" fontId="37" fillId="27" borderId="164" xfId="0" applyFont="1" applyFill="1" applyBorder="1" applyAlignment="1" applyProtection="1">
      <alignment horizontal="left" vertical="center"/>
      <protection hidden="1"/>
    </xf>
    <xf numFmtId="0" fontId="37" fillId="27" borderId="166" xfId="0" applyFont="1" applyFill="1" applyBorder="1" applyAlignment="1" applyProtection="1">
      <alignment horizontal="left" vertical="center"/>
      <protection hidden="1"/>
    </xf>
    <xf numFmtId="0" fontId="37" fillId="27" borderId="165" xfId="0" applyFont="1" applyFill="1" applyBorder="1" applyAlignment="1" applyProtection="1">
      <alignment horizontal="left" vertical="center"/>
      <protection hidden="1"/>
    </xf>
    <xf numFmtId="0" fontId="37" fillId="27" borderId="166" xfId="0" applyFont="1" applyFill="1" applyBorder="1" applyAlignment="1" applyProtection="1">
      <alignment horizontal="left" vertical="top"/>
      <protection hidden="1"/>
    </xf>
    <xf numFmtId="0" fontId="28" fillId="0" borderId="17" xfId="0" applyFont="1" applyFill="1" applyBorder="1" applyAlignment="1" applyProtection="1">
      <alignment horizontal="left" vertical="center"/>
      <protection hidden="1"/>
    </xf>
    <xf numFmtId="0" fontId="28" fillId="27" borderId="11" xfId="0" applyFont="1" applyFill="1" applyBorder="1" applyAlignment="1" applyProtection="1">
      <alignment horizontal="center" vertical="center"/>
      <protection locked="0" hidden="1"/>
    </xf>
    <xf numFmtId="0" fontId="37" fillId="27" borderId="12" xfId="0" applyFont="1" applyFill="1" applyBorder="1" applyAlignment="1" applyProtection="1">
      <alignment horizontal="left" vertical="center"/>
      <protection hidden="1"/>
    </xf>
    <xf numFmtId="0" fontId="37" fillId="27" borderId="14" xfId="0" applyFont="1" applyFill="1" applyBorder="1" applyAlignment="1" applyProtection="1">
      <alignment horizontal="left" vertical="top"/>
      <protection hidden="1"/>
    </xf>
    <xf numFmtId="0" fontId="37" fillId="27" borderId="12" xfId="0" applyFont="1" applyFill="1" applyBorder="1" applyAlignment="1" applyProtection="1">
      <alignment horizontal="left" vertical="top"/>
      <protection hidden="1"/>
    </xf>
    <xf numFmtId="0" fontId="37" fillId="27" borderId="13" xfId="0" applyFont="1" applyFill="1" applyBorder="1" applyAlignment="1" applyProtection="1">
      <alignment horizontal="left" vertical="top"/>
      <protection hidden="1"/>
    </xf>
    <xf numFmtId="0" fontId="26" fillId="0" borderId="17" xfId="0" applyFont="1" applyFill="1" applyBorder="1" applyAlignment="1" applyProtection="1">
      <alignment horizontal="center" vertical="top"/>
      <protection hidden="1"/>
    </xf>
    <xf numFmtId="0" fontId="26" fillId="0" borderId="0" xfId="0" applyFont="1" applyFill="1" applyBorder="1" applyAlignment="1" applyProtection="1">
      <alignment horizontal="center" vertical="top"/>
      <protection hidden="1"/>
    </xf>
    <xf numFmtId="0" fontId="28" fillId="27" borderId="168" xfId="0" applyFont="1" applyFill="1" applyBorder="1" applyAlignment="1" applyProtection="1">
      <alignment horizontal="center" vertical="center"/>
      <protection locked="0" hidden="1"/>
    </xf>
    <xf numFmtId="0" fontId="37" fillId="27" borderId="169" xfId="0" applyFont="1" applyFill="1" applyBorder="1" applyAlignment="1" applyProtection="1">
      <alignment horizontal="left" vertical="center"/>
      <protection hidden="1"/>
    </xf>
    <xf numFmtId="0" fontId="37" fillId="27" borderId="170" xfId="0" applyFont="1" applyFill="1" applyBorder="1" applyAlignment="1" applyProtection="1">
      <alignment horizontal="left" vertical="center"/>
      <protection hidden="1"/>
    </xf>
    <xf numFmtId="0" fontId="37" fillId="27" borderId="171" xfId="0" applyFont="1" applyFill="1" applyBorder="1" applyAlignment="1" applyProtection="1">
      <alignment horizontal="left" vertical="center"/>
      <protection hidden="1"/>
    </xf>
    <xf numFmtId="0" fontId="37" fillId="27" borderId="170" xfId="0" applyFont="1" applyFill="1" applyBorder="1" applyAlignment="1" applyProtection="1">
      <alignment horizontal="left" vertical="top"/>
      <protection hidden="1"/>
    </xf>
    <xf numFmtId="0" fontId="37" fillId="27" borderId="13" xfId="0" applyFont="1" applyFill="1" applyBorder="1" applyAlignment="1" applyProtection="1">
      <alignment horizontal="left" vertical="center"/>
      <protection hidden="1"/>
    </xf>
    <xf numFmtId="0" fontId="28" fillId="0" borderId="17" xfId="0" applyFont="1" applyFill="1" applyBorder="1" applyAlignment="1" applyProtection="1">
      <alignment horizontal="left"/>
      <protection hidden="1"/>
    </xf>
    <xf numFmtId="0" fontId="28" fillId="0" borderId="0" xfId="0" applyFont="1" applyFill="1" applyBorder="1" applyAlignment="1" applyProtection="1">
      <alignment horizontal="left"/>
      <protection hidden="1"/>
    </xf>
    <xf numFmtId="0" fontId="37" fillId="27" borderId="175" xfId="0" applyFont="1" applyFill="1" applyBorder="1" applyAlignment="1" applyProtection="1">
      <alignment horizontal="left" vertical="center"/>
      <protection hidden="1"/>
    </xf>
    <xf numFmtId="0" fontId="37" fillId="27" borderId="195" xfId="0" applyFont="1" applyFill="1" applyBorder="1" applyAlignment="1" applyProtection="1">
      <alignment horizontal="left" vertical="center"/>
      <protection hidden="1"/>
    </xf>
    <xf numFmtId="0" fontId="37" fillId="27" borderId="87" xfId="0" applyFont="1" applyFill="1" applyBorder="1" applyAlignment="1" applyProtection="1">
      <alignment horizontal="left" vertical="center"/>
      <protection hidden="1"/>
    </xf>
    <xf numFmtId="0" fontId="37" fillId="27" borderId="181" xfId="0" applyFont="1" applyFill="1" applyBorder="1" applyAlignment="1" applyProtection="1">
      <alignment horizontal="left" vertical="center"/>
      <protection hidden="1"/>
    </xf>
    <xf numFmtId="0" fontId="37" fillId="27" borderId="182" xfId="0" applyFont="1" applyFill="1" applyBorder="1" applyAlignment="1" applyProtection="1">
      <alignment horizontal="left" vertical="center"/>
      <protection hidden="1"/>
    </xf>
    <xf numFmtId="0" fontId="28" fillId="27" borderId="55" xfId="0" applyFont="1" applyFill="1" applyBorder="1" applyAlignment="1" applyProtection="1">
      <alignment horizontal="center" vertical="center"/>
      <protection locked="0" hidden="1"/>
    </xf>
    <xf numFmtId="0" fontId="37" fillId="27" borderId="56" xfId="0" applyFont="1" applyFill="1" applyBorder="1" applyAlignment="1" applyProtection="1">
      <alignment horizontal="left" vertical="center"/>
      <protection hidden="1"/>
    </xf>
    <xf numFmtId="0" fontId="37" fillId="27" borderId="58" xfId="0" applyFont="1" applyFill="1" applyBorder="1" applyAlignment="1" applyProtection="1">
      <alignment horizontal="left" vertical="center"/>
      <protection hidden="1"/>
    </xf>
    <xf numFmtId="0" fontId="28" fillId="0" borderId="53" xfId="0" applyFont="1" applyBorder="1" applyProtection="1">
      <alignment vertical="center"/>
    </xf>
    <xf numFmtId="0" fontId="28" fillId="0" borderId="53" xfId="0" applyFont="1" applyBorder="1" applyAlignment="1" applyProtection="1">
      <alignment vertical="top"/>
    </xf>
    <xf numFmtId="181" fontId="28" fillId="31" borderId="80" xfId="0" applyNumberFormat="1" applyFont="1" applyFill="1" applyBorder="1" applyAlignment="1" applyProtection="1">
      <alignment horizontal="centerContinuous" vertical="top"/>
      <protection hidden="1"/>
    </xf>
    <xf numFmtId="0" fontId="0" fillId="43" borderId="10" xfId="0" applyFill="1" applyBorder="1">
      <alignment vertical="center"/>
    </xf>
    <xf numFmtId="0" fontId="26" fillId="0" borderId="57" xfId="0" applyFont="1" applyFill="1" applyBorder="1" applyAlignment="1" applyProtection="1">
      <alignment horizontal="left" vertical="center"/>
      <protection hidden="1"/>
    </xf>
    <xf numFmtId="0" fontId="28" fillId="0" borderId="57" xfId="0" applyFont="1" applyFill="1" applyBorder="1" applyAlignment="1" applyProtection="1">
      <alignment horizontal="left" vertical="center"/>
      <protection hidden="1"/>
    </xf>
    <xf numFmtId="0" fontId="28" fillId="0" borderId="57" xfId="0" applyFont="1" applyFill="1" applyBorder="1" applyAlignment="1" applyProtection="1">
      <alignment horizontal="left" vertical="top"/>
      <protection hidden="1"/>
    </xf>
    <xf numFmtId="0" fontId="28" fillId="27" borderId="26" xfId="0" applyFont="1" applyFill="1" applyBorder="1" applyAlignment="1" applyProtection="1">
      <alignment horizontal="left"/>
      <protection hidden="1"/>
    </xf>
    <xf numFmtId="0" fontId="28" fillId="27" borderId="50" xfId="0" applyFont="1" applyFill="1" applyBorder="1" applyAlignment="1" applyProtection="1">
      <alignment horizontal="left"/>
      <protection hidden="1"/>
    </xf>
    <xf numFmtId="0" fontId="28" fillId="27" borderId="27" xfId="0" applyFont="1" applyFill="1" applyBorder="1" applyAlignment="1" applyProtection="1">
      <alignment horizontal="left"/>
      <protection hidden="1"/>
    </xf>
    <xf numFmtId="0" fontId="28" fillId="27" borderId="26" xfId="0" applyFont="1" applyFill="1" applyBorder="1" applyAlignment="1" applyProtection="1">
      <protection hidden="1"/>
    </xf>
    <xf numFmtId="0" fontId="28" fillId="27" borderId="50" xfId="0" applyFont="1" applyFill="1" applyBorder="1" applyAlignment="1" applyProtection="1">
      <protection hidden="1"/>
    </xf>
    <xf numFmtId="0" fontId="28" fillId="27" borderId="50" xfId="0" applyFont="1" applyFill="1" applyBorder="1" applyAlignment="1" applyProtection="1">
      <alignment vertical="top"/>
      <protection hidden="1"/>
    </xf>
    <xf numFmtId="0" fontId="28" fillId="27" borderId="27" xfId="0" applyFont="1" applyFill="1" applyBorder="1" applyAlignment="1" applyProtection="1">
      <protection hidden="1"/>
    </xf>
    <xf numFmtId="0" fontId="37" fillId="27" borderId="26" xfId="0" applyFont="1" applyFill="1" applyBorder="1" applyAlignment="1" applyProtection="1">
      <alignment horizontal="left"/>
      <protection hidden="1"/>
    </xf>
    <xf numFmtId="0" fontId="37" fillId="27" borderId="50" xfId="0" applyFont="1" applyFill="1" applyBorder="1" applyAlignment="1" applyProtection="1">
      <alignment horizontal="left"/>
      <protection hidden="1"/>
    </xf>
    <xf numFmtId="0" fontId="37" fillId="27" borderId="50" xfId="0" applyFont="1" applyFill="1" applyBorder="1" applyAlignment="1" applyProtection="1">
      <alignment horizontal="left" vertical="top"/>
      <protection hidden="1"/>
    </xf>
    <xf numFmtId="0" fontId="37" fillId="27" borderId="27" xfId="0" applyFont="1" applyFill="1" applyBorder="1" applyAlignment="1" applyProtection="1">
      <alignment horizontal="left"/>
      <protection hidden="1"/>
    </xf>
    <xf numFmtId="0" fontId="28" fillId="27" borderId="15" xfId="0" applyFont="1" applyFill="1" applyBorder="1" applyAlignment="1" applyProtection="1">
      <alignment vertical="center"/>
      <protection hidden="1"/>
    </xf>
    <xf numFmtId="0" fontId="28" fillId="27" borderId="50" xfId="0" applyFont="1" applyFill="1" applyBorder="1" applyAlignment="1" applyProtection="1">
      <alignment horizontal="left" vertical="top"/>
      <protection hidden="1"/>
    </xf>
    <xf numFmtId="0" fontId="28" fillId="27" borderId="10" xfId="0" applyFont="1" applyFill="1" applyBorder="1" applyAlignment="1" applyProtection="1">
      <protection hidden="1"/>
    </xf>
    <xf numFmtId="181" fontId="26" fillId="0" borderId="0" xfId="0" applyNumberFormat="1" applyFont="1" applyFill="1" applyBorder="1" applyAlignment="1" applyProtection="1">
      <alignment horizontal="left" vertical="center"/>
      <protection hidden="1"/>
    </xf>
    <xf numFmtId="181" fontId="28" fillId="0" borderId="0" xfId="0" applyNumberFormat="1" applyFont="1" applyFill="1" applyBorder="1" applyAlignment="1" applyProtection="1">
      <alignment vertical="top"/>
      <protection hidden="1"/>
    </xf>
    <xf numFmtId="181" fontId="28" fillId="27" borderId="26" xfId="0" applyNumberFormat="1" applyFont="1" applyFill="1" applyBorder="1" applyAlignment="1" applyProtection="1">
      <alignment horizontal="left" vertical="center"/>
      <protection hidden="1"/>
    </xf>
    <xf numFmtId="181" fontId="28" fillId="27" borderId="50" xfId="0" applyNumberFormat="1" applyFont="1" applyFill="1" applyBorder="1" applyAlignment="1" applyProtection="1">
      <alignment horizontal="left" vertical="center"/>
      <protection hidden="1"/>
    </xf>
    <xf numFmtId="181" fontId="28" fillId="27" borderId="27" xfId="0" applyNumberFormat="1" applyFont="1" applyFill="1" applyBorder="1" applyAlignment="1" applyProtection="1">
      <alignment horizontal="left" vertical="center"/>
      <protection hidden="1"/>
    </xf>
    <xf numFmtId="181" fontId="28" fillId="27" borderId="26" xfId="0" applyNumberFormat="1" applyFont="1" applyFill="1" applyBorder="1" applyAlignment="1" applyProtection="1">
      <alignment vertical="center"/>
      <protection hidden="1"/>
    </xf>
    <xf numFmtId="181" fontId="28" fillId="27" borderId="26" xfId="0" applyNumberFormat="1" applyFont="1" applyFill="1" applyBorder="1" applyAlignment="1" applyProtection="1">
      <alignment horizontal="center" vertical="center"/>
      <protection hidden="1"/>
    </xf>
    <xf numFmtId="181" fontId="28" fillId="27" borderId="27" xfId="0" applyNumberFormat="1" applyFont="1" applyFill="1" applyBorder="1" applyAlignment="1" applyProtection="1">
      <alignment horizontal="center" vertical="center"/>
      <protection hidden="1"/>
    </xf>
    <xf numFmtId="181" fontId="28" fillId="27" borderId="10" xfId="0" applyNumberFormat="1" applyFont="1" applyFill="1" applyBorder="1" applyAlignment="1" applyProtection="1">
      <alignment vertical="top"/>
      <protection hidden="1"/>
    </xf>
    <xf numFmtId="181" fontId="28" fillId="27" borderId="10" xfId="0" applyNumberFormat="1" applyFont="1" applyFill="1" applyBorder="1" applyAlignment="1" applyProtection="1">
      <alignment vertical="center"/>
      <protection hidden="1"/>
    </xf>
    <xf numFmtId="181" fontId="28" fillId="27" borderId="52" xfId="0" applyNumberFormat="1" applyFont="1" applyFill="1" applyBorder="1" applyAlignment="1" applyProtection="1">
      <alignment horizontal="left" vertical="center"/>
      <protection hidden="1"/>
    </xf>
    <xf numFmtId="181" fontId="28" fillId="27" borderId="53" xfId="0" applyNumberFormat="1" applyFont="1" applyFill="1" applyBorder="1" applyAlignment="1" applyProtection="1">
      <alignment horizontal="left" vertical="center"/>
      <protection hidden="1"/>
    </xf>
    <xf numFmtId="181" fontId="28" fillId="27" borderId="54" xfId="0" applyNumberFormat="1" applyFont="1" applyFill="1" applyBorder="1" applyAlignment="1" applyProtection="1">
      <alignment horizontal="left" vertical="center"/>
      <protection hidden="1"/>
    </xf>
    <xf numFmtId="0" fontId="28" fillId="27" borderId="10" xfId="0" applyNumberFormat="1" applyFont="1" applyFill="1" applyBorder="1" applyAlignment="1" applyProtection="1">
      <alignment vertical="top"/>
      <protection hidden="1"/>
    </xf>
    <xf numFmtId="3" fontId="28" fillId="27" borderId="27" xfId="0" applyNumberFormat="1" applyFont="1" applyFill="1" applyBorder="1" applyAlignment="1" applyProtection="1">
      <alignment horizontal="right" vertical="top"/>
      <protection hidden="1"/>
    </xf>
    <xf numFmtId="181" fontId="28" fillId="27" borderId="56" xfId="0" applyNumberFormat="1" applyFont="1" applyFill="1" applyBorder="1" applyAlignment="1" applyProtection="1">
      <alignment horizontal="left" vertical="center"/>
      <protection hidden="1"/>
    </xf>
    <xf numFmtId="181" fontId="28" fillId="27" borderId="57" xfId="0" applyNumberFormat="1" applyFont="1" applyFill="1" applyBorder="1" applyAlignment="1" applyProtection="1">
      <alignment horizontal="left" vertical="center"/>
      <protection hidden="1"/>
    </xf>
    <xf numFmtId="181" fontId="28" fillId="27" borderId="58" xfId="0" applyNumberFormat="1" applyFont="1" applyFill="1" applyBorder="1" applyAlignment="1" applyProtection="1">
      <alignment horizontal="left" vertical="center"/>
      <protection hidden="1"/>
    </xf>
    <xf numFmtId="0" fontId="28" fillId="27" borderId="27" xfId="0" applyNumberFormat="1" applyFont="1" applyFill="1" applyBorder="1" applyAlignment="1" applyProtection="1">
      <alignment vertical="center"/>
      <protection hidden="1"/>
    </xf>
    <xf numFmtId="181" fontId="28" fillId="27" borderId="52" xfId="0" applyNumberFormat="1" applyFont="1" applyFill="1" applyBorder="1" applyAlignment="1" applyProtection="1">
      <alignment horizontal="left" vertical="top"/>
      <protection hidden="1"/>
    </xf>
    <xf numFmtId="181" fontId="28" fillId="27" borderId="53" xfId="0" applyNumberFormat="1" applyFont="1" applyFill="1" applyBorder="1" applyAlignment="1" applyProtection="1">
      <alignment horizontal="left" vertical="top"/>
      <protection hidden="1"/>
    </xf>
    <xf numFmtId="181" fontId="28" fillId="27" borderId="54" xfId="0" applyNumberFormat="1" applyFont="1" applyFill="1" applyBorder="1" applyAlignment="1" applyProtection="1">
      <alignment horizontal="left" vertical="top"/>
      <protection hidden="1"/>
    </xf>
    <xf numFmtId="3" fontId="28" fillId="27" borderId="27" xfId="0" applyNumberFormat="1" applyFont="1" applyFill="1" applyBorder="1" applyAlignment="1" applyProtection="1">
      <alignment vertical="center"/>
      <protection hidden="1"/>
    </xf>
    <xf numFmtId="181" fontId="28" fillId="27" borderId="64" xfId="0" applyNumberFormat="1" applyFont="1" applyFill="1" applyBorder="1" applyAlignment="1" applyProtection="1">
      <alignment horizontal="left" vertical="top"/>
      <protection hidden="1"/>
    </xf>
    <xf numFmtId="181" fontId="28" fillId="27" borderId="0" xfId="0" applyNumberFormat="1" applyFont="1" applyFill="1" applyBorder="1" applyAlignment="1" applyProtection="1">
      <alignment horizontal="left" vertical="top"/>
      <protection hidden="1"/>
    </xf>
    <xf numFmtId="181" fontId="28" fillId="27" borderId="17" xfId="0" applyNumberFormat="1" applyFont="1" applyFill="1" applyBorder="1" applyAlignment="1" applyProtection="1">
      <alignment horizontal="left" vertical="top"/>
      <protection hidden="1"/>
    </xf>
    <xf numFmtId="181" fontId="28" fillId="27" borderId="56" xfId="0" applyNumberFormat="1" applyFont="1" applyFill="1" applyBorder="1" applyAlignment="1" applyProtection="1">
      <alignment horizontal="left" vertical="top"/>
      <protection hidden="1"/>
    </xf>
    <xf numFmtId="181" fontId="28" fillId="27" borderId="57" xfId="0" applyNumberFormat="1" applyFont="1" applyFill="1" applyBorder="1" applyAlignment="1" applyProtection="1">
      <alignment horizontal="left" vertical="top"/>
      <protection hidden="1"/>
    </xf>
    <xf numFmtId="181" fontId="28" fillId="27" borderId="58" xfId="0" applyNumberFormat="1" applyFont="1" applyFill="1" applyBorder="1" applyAlignment="1" applyProtection="1">
      <alignment horizontal="left" vertical="top"/>
      <protection hidden="1"/>
    </xf>
    <xf numFmtId="181" fontId="28" fillId="27" borderId="64" xfId="0" applyNumberFormat="1" applyFont="1" applyFill="1" applyBorder="1" applyAlignment="1" applyProtection="1">
      <alignment horizontal="left" vertical="center"/>
      <protection hidden="1"/>
    </xf>
    <xf numFmtId="181" fontId="28" fillId="27" borderId="0" xfId="0" applyNumberFormat="1" applyFont="1" applyFill="1" applyBorder="1" applyAlignment="1" applyProtection="1">
      <alignment horizontal="left" vertical="center"/>
      <protection hidden="1"/>
    </xf>
    <xf numFmtId="181" fontId="28" fillId="27" borderId="17" xfId="0" applyNumberFormat="1" applyFont="1" applyFill="1" applyBorder="1" applyAlignment="1" applyProtection="1">
      <alignment horizontal="left" vertical="center"/>
      <protection hidden="1"/>
    </xf>
    <xf numFmtId="181" fontId="26" fillId="0" borderId="0" xfId="0" applyNumberFormat="1" applyFont="1" applyFill="1" applyBorder="1" applyAlignment="1" applyProtection="1">
      <alignment vertical="center"/>
    </xf>
    <xf numFmtId="181" fontId="28" fillId="0" borderId="0" xfId="0" applyNumberFormat="1" applyFont="1" applyFill="1" applyBorder="1" applyAlignment="1" applyProtection="1">
      <alignment vertical="center"/>
    </xf>
    <xf numFmtId="181" fontId="37" fillId="0" borderId="0" xfId="0" applyNumberFormat="1" applyFont="1" applyFill="1" applyBorder="1" applyAlignment="1" applyProtection="1">
      <alignment horizontal="left" vertical="top"/>
    </xf>
    <xf numFmtId="0" fontId="28" fillId="27" borderId="52" xfId="0" applyFont="1" applyFill="1" applyBorder="1">
      <alignment vertical="center"/>
    </xf>
    <xf numFmtId="0" fontId="28" fillId="27" borderId="51" xfId="0" applyFont="1" applyFill="1" applyBorder="1" applyAlignment="1">
      <alignment horizontal="center" vertical="center"/>
    </xf>
    <xf numFmtId="0" fontId="28" fillId="27" borderId="51" xfId="0" applyFont="1" applyFill="1" applyBorder="1">
      <alignment vertical="center"/>
    </xf>
    <xf numFmtId="0" fontId="28" fillId="27" borderId="10" xfId="0" applyFont="1" applyFill="1" applyBorder="1" applyAlignment="1">
      <alignment horizontal="center" vertical="center"/>
    </xf>
    <xf numFmtId="38" fontId="28" fillId="27" borderId="51" xfId="35" applyFont="1" applyFill="1" applyBorder="1">
      <alignment vertical="center"/>
    </xf>
    <xf numFmtId="0" fontId="28" fillId="27" borderId="54" xfId="0" applyFont="1" applyFill="1" applyBorder="1">
      <alignment vertical="center"/>
    </xf>
    <xf numFmtId="0" fontId="28" fillId="27" borderId="15" xfId="0" applyFont="1" applyFill="1" applyBorder="1">
      <alignment vertical="center"/>
    </xf>
    <xf numFmtId="38" fontId="28" fillId="27" borderId="15" xfId="35" applyFont="1" applyFill="1" applyBorder="1">
      <alignment vertical="center"/>
    </xf>
    <xf numFmtId="0" fontId="28" fillId="27" borderId="17" xfId="0" applyFont="1" applyFill="1" applyBorder="1">
      <alignment vertical="center"/>
    </xf>
    <xf numFmtId="0" fontId="28" fillId="27" borderId="56" xfId="0" applyFont="1" applyFill="1" applyBorder="1">
      <alignment vertical="center"/>
    </xf>
    <xf numFmtId="0" fontId="28" fillId="27" borderId="55" xfId="0" applyFont="1" applyFill="1" applyBorder="1">
      <alignment vertical="center"/>
    </xf>
    <xf numFmtId="38" fontId="28" fillId="27" borderId="55" xfId="35" applyFont="1" applyFill="1" applyBorder="1">
      <alignment vertical="center"/>
    </xf>
    <xf numFmtId="0" fontId="28" fillId="27" borderId="58" xfId="0" applyFont="1" applyFill="1" applyBorder="1">
      <alignment vertical="center"/>
    </xf>
    <xf numFmtId="0" fontId="33" fillId="0" borderId="57" xfId="0" applyFont="1" applyFill="1" applyBorder="1" applyAlignment="1" applyProtection="1">
      <alignment horizontal="right" vertical="center"/>
    </xf>
    <xf numFmtId="0" fontId="48" fillId="0" borderId="0" xfId="0" applyFont="1" applyFill="1" applyAlignment="1" applyProtection="1">
      <alignment horizontal="right" vertical="center"/>
    </xf>
    <xf numFmtId="176" fontId="28" fillId="27" borderId="12" xfId="0" applyNumberFormat="1" applyFont="1" applyFill="1" applyBorder="1" applyAlignment="1" applyProtection="1">
      <alignment horizontal="left" vertical="center"/>
      <protection hidden="1"/>
    </xf>
    <xf numFmtId="176" fontId="28" fillId="27" borderId="169" xfId="0" applyNumberFormat="1" applyFont="1" applyFill="1" applyBorder="1" applyAlignment="1" applyProtection="1">
      <alignment horizontal="left" vertical="center"/>
      <protection hidden="1"/>
    </xf>
    <xf numFmtId="0" fontId="125" fillId="0" borderId="0" xfId="0" applyFont="1" applyFill="1" applyProtection="1">
      <alignment vertical="center"/>
    </xf>
    <xf numFmtId="0" fontId="28" fillId="0" borderId="0" xfId="0" applyFont="1" applyFill="1" applyBorder="1" applyAlignment="1" applyProtection="1">
      <alignment vertical="center"/>
    </xf>
    <xf numFmtId="0" fontId="28" fillId="0" borderId="0" xfId="0" applyFont="1" applyAlignment="1" applyProtection="1">
      <protection hidden="1"/>
    </xf>
    <xf numFmtId="0" fontId="28" fillId="31" borderId="10" xfId="0" applyFont="1" applyFill="1" applyBorder="1" applyAlignment="1" applyProtection="1">
      <alignment horizontal="center" vertical="center"/>
    </xf>
    <xf numFmtId="0" fontId="33" fillId="31" borderId="26" xfId="44" applyFont="1" applyFill="1" applyBorder="1" applyAlignment="1" applyProtection="1">
      <alignment horizontal="center" vertical="center"/>
      <protection hidden="1"/>
    </xf>
    <xf numFmtId="0" fontId="37" fillId="31" borderId="10" xfId="44" applyFont="1" applyFill="1" applyBorder="1" applyAlignment="1" applyProtection="1">
      <alignment horizontal="center" vertical="center"/>
      <protection hidden="1"/>
    </xf>
    <xf numFmtId="0" fontId="33" fillId="31" borderId="10" xfId="44" applyFont="1" applyFill="1" applyBorder="1" applyAlignment="1" applyProtection="1">
      <alignment horizontal="center" vertical="center"/>
      <protection hidden="1"/>
    </xf>
    <xf numFmtId="0" fontId="26" fillId="0" borderId="0" xfId="0" applyFont="1" applyFill="1" applyAlignment="1" applyProtection="1">
      <alignment horizontal="right" vertical="center"/>
    </xf>
    <xf numFmtId="0" fontId="28" fillId="31" borderId="10" xfId="0" applyFont="1" applyFill="1" applyBorder="1" applyProtection="1">
      <alignment vertical="center"/>
    </xf>
    <xf numFmtId="178" fontId="28" fillId="27" borderId="10" xfId="0" applyNumberFormat="1" applyFont="1" applyFill="1" applyBorder="1" applyProtection="1">
      <alignment vertical="center"/>
    </xf>
    <xf numFmtId="178" fontId="28" fillId="27" borderId="26" xfId="0" applyNumberFormat="1" applyFont="1" applyFill="1" applyBorder="1" applyProtection="1">
      <alignment vertical="center"/>
    </xf>
    <xf numFmtId="9" fontId="28" fillId="27" borderId="10" xfId="0" applyNumberFormat="1" applyFont="1" applyFill="1" applyBorder="1" applyAlignment="1" applyProtection="1">
      <alignment vertical="center"/>
    </xf>
    <xf numFmtId="177" fontId="125" fillId="27" borderId="144" xfId="0" applyNumberFormat="1" applyFont="1" applyFill="1" applyBorder="1" applyAlignment="1" applyProtection="1">
      <alignment vertical="center"/>
    </xf>
    <xf numFmtId="9" fontId="26" fillId="27" borderId="10" xfId="28" applyFont="1" applyFill="1" applyBorder="1" applyAlignment="1" applyProtection="1">
      <alignment vertical="center"/>
    </xf>
    <xf numFmtId="0" fontId="45" fillId="0" borderId="0" xfId="0" applyFont="1" applyFill="1" applyAlignment="1" applyProtection="1">
      <alignment horizontal="left" vertical="center"/>
    </xf>
    <xf numFmtId="0" fontId="45" fillId="0" borderId="0" xfId="0" applyFont="1" applyAlignment="1">
      <alignment horizontal="left" vertical="center"/>
    </xf>
    <xf numFmtId="0" fontId="67" fillId="0" borderId="53" xfId="0" applyFont="1" applyBorder="1" applyAlignment="1" applyProtection="1">
      <alignment vertical="top" wrapText="1"/>
    </xf>
    <xf numFmtId="0" fontId="67" fillId="0" borderId="0" xfId="0" applyFont="1" applyBorder="1" applyAlignment="1" applyProtection="1">
      <alignment vertical="top" wrapText="1"/>
    </xf>
    <xf numFmtId="176" fontId="28" fillId="0" borderId="0" xfId="0" applyNumberFormat="1" applyFont="1" applyFill="1" applyBorder="1" applyAlignment="1" applyProtection="1">
      <alignment horizontal="center" vertical="center"/>
      <protection hidden="1"/>
    </xf>
    <xf numFmtId="0" fontId="28" fillId="0" borderId="0" xfId="0" applyNumberFormat="1" applyFont="1" applyFill="1" applyBorder="1" applyAlignment="1" applyProtection="1">
      <alignment horizontal="center" vertical="center"/>
      <protection hidden="1"/>
    </xf>
    <xf numFmtId="176" fontId="37" fillId="0" borderId="0" xfId="0" applyNumberFormat="1" applyFont="1" applyFill="1" applyBorder="1" applyAlignment="1" applyProtection="1">
      <alignment horizontal="left" vertical="top"/>
      <protection hidden="1"/>
    </xf>
    <xf numFmtId="0" fontId="28" fillId="27" borderId="87" xfId="0" applyFont="1" applyFill="1" applyBorder="1" applyAlignment="1">
      <alignment horizontal="left" vertical="center" wrapText="1"/>
    </xf>
    <xf numFmtId="0" fontId="6" fillId="43" borderId="0" xfId="0" applyFont="1" applyFill="1">
      <alignment vertical="center"/>
    </xf>
    <xf numFmtId="0" fontId="28" fillId="42" borderId="165" xfId="0" applyFont="1" applyFill="1" applyBorder="1" applyAlignment="1" applyProtection="1">
      <alignment horizontal="left" vertical="center" wrapText="1"/>
      <protection hidden="1"/>
    </xf>
    <xf numFmtId="181" fontId="28" fillId="42" borderId="165" xfId="0" applyNumberFormat="1" applyFont="1" applyFill="1" applyBorder="1" applyAlignment="1" applyProtection="1">
      <alignment horizontal="left" vertical="center"/>
      <protection hidden="1"/>
    </xf>
    <xf numFmtId="181" fontId="28" fillId="42" borderId="166" xfId="0" applyNumberFormat="1" applyFont="1" applyFill="1" applyBorder="1" applyAlignment="1" applyProtection="1">
      <alignment horizontal="left" vertical="center"/>
      <protection hidden="1"/>
    </xf>
    <xf numFmtId="176" fontId="28" fillId="42" borderId="13" xfId="0" applyNumberFormat="1" applyFont="1" applyFill="1" applyBorder="1" applyAlignment="1" applyProtection="1">
      <alignment horizontal="left" vertical="center" wrapText="1"/>
      <protection hidden="1"/>
    </xf>
    <xf numFmtId="0" fontId="28" fillId="42" borderId="13" xfId="0" applyFont="1" applyFill="1" applyBorder="1" applyAlignment="1" applyProtection="1">
      <alignment horizontal="left" vertical="center" wrapText="1"/>
      <protection hidden="1"/>
    </xf>
    <xf numFmtId="181" fontId="28" fillId="42" borderId="13" xfId="0" applyNumberFormat="1" applyFont="1" applyFill="1" applyBorder="1" applyAlignment="1" applyProtection="1">
      <alignment horizontal="left" vertical="center"/>
      <protection hidden="1"/>
    </xf>
    <xf numFmtId="181" fontId="28" fillId="42" borderId="14" xfId="0" applyNumberFormat="1" applyFont="1" applyFill="1" applyBorder="1" applyAlignment="1" applyProtection="1">
      <alignment horizontal="left" vertical="center"/>
      <protection hidden="1"/>
    </xf>
    <xf numFmtId="181" fontId="28" fillId="42" borderId="169" xfId="0" applyNumberFormat="1" applyFont="1" applyFill="1" applyBorder="1" applyAlignment="1" applyProtection="1">
      <alignment horizontal="left" vertical="center"/>
      <protection hidden="1"/>
    </xf>
    <xf numFmtId="176" fontId="28" fillId="42" borderId="171" xfId="0" applyNumberFormat="1" applyFont="1" applyFill="1" applyBorder="1" applyAlignment="1" applyProtection="1">
      <alignment horizontal="left" vertical="center" wrapText="1"/>
      <protection hidden="1"/>
    </xf>
    <xf numFmtId="0" fontId="28" fillId="42" borderId="171" xfId="0" applyFont="1" applyFill="1" applyBorder="1" applyAlignment="1" applyProtection="1">
      <alignment horizontal="left" vertical="center" wrapText="1"/>
      <protection hidden="1"/>
    </xf>
    <xf numFmtId="181" fontId="28" fillId="42" borderId="171" xfId="0" applyNumberFormat="1" applyFont="1" applyFill="1" applyBorder="1" applyAlignment="1" applyProtection="1">
      <alignment horizontal="left" vertical="center"/>
      <protection hidden="1"/>
    </xf>
    <xf numFmtId="181" fontId="28" fillId="42" borderId="170" xfId="0" applyNumberFormat="1" applyFont="1" applyFill="1" applyBorder="1" applyAlignment="1" applyProtection="1">
      <alignment horizontal="left" vertical="center"/>
      <protection hidden="1"/>
    </xf>
    <xf numFmtId="0" fontId="28" fillId="27" borderId="175" xfId="0" applyFont="1" applyFill="1" applyBorder="1" applyAlignment="1">
      <alignment horizontal="left" vertical="center" wrapText="1"/>
    </xf>
    <xf numFmtId="0" fontId="27" fillId="0" borderId="0" xfId="0" applyFont="1" applyFill="1" applyAlignment="1" applyProtection="1">
      <alignment vertical="center"/>
      <protection hidden="1"/>
    </xf>
    <xf numFmtId="0" fontId="28" fillId="27" borderId="171" xfId="0" applyFont="1" applyFill="1" applyBorder="1" applyAlignment="1" applyProtection="1">
      <alignment horizontal="left" vertical="top" wrapText="1"/>
      <protection hidden="1"/>
    </xf>
    <xf numFmtId="181" fontId="26" fillId="27" borderId="51" xfId="0" applyNumberFormat="1" applyFont="1" applyFill="1" applyBorder="1" applyAlignment="1" applyProtection="1">
      <alignment horizontal="center" vertical="center"/>
      <protection hidden="1"/>
    </xf>
    <xf numFmtId="0" fontId="45" fillId="27" borderId="55" xfId="0" applyFont="1" applyFill="1" applyBorder="1" applyAlignment="1" applyProtection="1">
      <alignment vertical="center"/>
      <protection hidden="1"/>
    </xf>
    <xf numFmtId="0" fontId="28" fillId="27" borderId="175" xfId="0" applyFont="1" applyFill="1" applyBorder="1" applyAlignment="1" applyProtection="1">
      <alignment horizontal="center" vertical="center"/>
      <protection hidden="1"/>
    </xf>
    <xf numFmtId="0" fontId="28" fillId="27" borderId="196" xfId="0" applyFont="1" applyFill="1" applyBorder="1" applyAlignment="1" applyProtection="1">
      <alignment horizontal="center" vertical="center"/>
      <protection hidden="1"/>
    </xf>
    <xf numFmtId="0" fontId="28" fillId="27" borderId="195" xfId="0" applyFont="1" applyFill="1" applyBorder="1" applyAlignment="1" applyProtection="1">
      <alignment horizontal="center" vertical="center"/>
      <protection hidden="1"/>
    </xf>
    <xf numFmtId="0" fontId="28" fillId="27" borderId="164" xfId="0" applyFont="1" applyFill="1" applyBorder="1" applyAlignment="1" applyProtection="1">
      <alignment horizontal="center" vertical="center" wrapText="1"/>
      <protection hidden="1"/>
    </xf>
    <xf numFmtId="0" fontId="28" fillId="27" borderId="197" xfId="0" applyFont="1" applyFill="1" applyBorder="1" applyAlignment="1" applyProtection="1">
      <alignment horizontal="center" vertical="center" wrapText="1"/>
      <protection hidden="1"/>
    </xf>
    <xf numFmtId="0" fontId="28" fillId="27" borderId="166" xfId="0" applyFont="1" applyFill="1" applyBorder="1" applyAlignment="1" applyProtection="1">
      <alignment horizontal="center" vertical="center" wrapText="1"/>
      <protection hidden="1"/>
    </xf>
    <xf numFmtId="0" fontId="28" fillId="27" borderId="12" xfId="0" applyFont="1" applyFill="1" applyBorder="1" applyAlignment="1" applyProtection="1">
      <alignment horizontal="center" vertical="center"/>
      <protection hidden="1"/>
    </xf>
    <xf numFmtId="0" fontId="28" fillId="27" borderId="14" xfId="0" applyFont="1" applyFill="1" applyBorder="1" applyAlignment="1" applyProtection="1">
      <alignment horizontal="center" vertical="center"/>
      <protection hidden="1"/>
    </xf>
    <xf numFmtId="0" fontId="28" fillId="27" borderId="169" xfId="0" applyFont="1" applyFill="1" applyBorder="1" applyAlignment="1" applyProtection="1">
      <alignment horizontal="center" vertical="center"/>
      <protection hidden="1"/>
    </xf>
    <xf numFmtId="0" fontId="28" fillId="27" borderId="198" xfId="0" applyFont="1" applyFill="1" applyBorder="1" applyAlignment="1" applyProtection="1">
      <alignment horizontal="center" vertical="center"/>
      <protection hidden="1"/>
    </xf>
    <xf numFmtId="0" fontId="28" fillId="27" borderId="170" xfId="0" applyFont="1" applyFill="1" applyBorder="1" applyAlignment="1" applyProtection="1">
      <alignment horizontal="center" vertical="center"/>
      <protection hidden="1"/>
    </xf>
    <xf numFmtId="0" fontId="45" fillId="27" borderId="51" xfId="0" applyFont="1" applyFill="1" applyBorder="1" applyAlignment="1" applyProtection="1">
      <alignment vertical="center"/>
      <protection hidden="1"/>
    </xf>
    <xf numFmtId="0" fontId="28" fillId="27" borderId="166" xfId="0" applyFont="1" applyFill="1" applyBorder="1" applyAlignment="1" applyProtection="1">
      <alignment horizontal="center" vertical="center"/>
      <protection hidden="1"/>
    </xf>
    <xf numFmtId="0" fontId="28" fillId="0" borderId="53" xfId="0" applyFont="1" applyBorder="1" applyAlignment="1">
      <alignment vertical="center" wrapText="1"/>
    </xf>
    <xf numFmtId="0" fontId="28" fillId="0" borderId="0" xfId="0" applyFont="1" applyBorder="1" applyAlignment="1">
      <alignment horizontal="left" vertical="center" wrapText="1"/>
    </xf>
    <xf numFmtId="202" fontId="28" fillId="0" borderId="0" xfId="35" applyNumberFormat="1" applyFont="1" applyFill="1" applyBorder="1" applyAlignment="1" applyProtection="1">
      <alignment horizontal="center" vertical="center"/>
      <protection hidden="1"/>
    </xf>
    <xf numFmtId="0" fontId="28" fillId="0" borderId="0" xfId="0" applyFont="1" applyBorder="1" applyAlignment="1">
      <alignment horizontal="left" vertical="top" wrapText="1"/>
    </xf>
    <xf numFmtId="176" fontId="28" fillId="27" borderId="13" xfId="0" applyNumberFormat="1" applyFont="1" applyFill="1" applyBorder="1" applyAlignment="1" applyProtection="1">
      <alignment horizontal="left" vertical="center"/>
      <protection hidden="1"/>
    </xf>
    <xf numFmtId="176" fontId="28" fillId="27" borderId="171" xfId="0" applyNumberFormat="1" applyFont="1" applyFill="1" applyBorder="1" applyAlignment="1" applyProtection="1">
      <alignment horizontal="left" vertical="center"/>
      <protection hidden="1"/>
    </xf>
    <xf numFmtId="0" fontId="45" fillId="0" borderId="0" xfId="44" applyFont="1" applyBorder="1" applyAlignment="1"/>
    <xf numFmtId="0" fontId="23" fillId="0" borderId="0" xfId="44" applyFont="1" applyFill="1" applyBorder="1" applyAlignment="1">
      <alignment vertical="center"/>
    </xf>
    <xf numFmtId="0" fontId="125" fillId="0" borderId="0" xfId="44" applyFont="1" applyFill="1" applyBorder="1" applyAlignment="1">
      <alignment vertical="center"/>
    </xf>
    <xf numFmtId="0" fontId="33" fillId="0" borderId="0" xfId="44" applyFont="1" applyBorder="1" applyAlignment="1"/>
    <xf numFmtId="0" fontId="33" fillId="41" borderId="26" xfId="44" applyFont="1" applyFill="1" applyBorder="1" applyAlignment="1">
      <alignment horizontal="left"/>
    </xf>
    <xf numFmtId="0" fontId="33" fillId="41" borderId="50" xfId="44" applyFont="1" applyFill="1" applyBorder="1" applyAlignment="1">
      <alignment horizontal="center"/>
    </xf>
    <xf numFmtId="0" fontId="33" fillId="41" borderId="50" xfId="44" applyFont="1" applyFill="1" applyBorder="1" applyAlignment="1">
      <alignment horizontal="left"/>
    </xf>
    <xf numFmtId="0" fontId="33" fillId="41" borderId="27" xfId="44" applyFont="1" applyFill="1" applyBorder="1" applyAlignment="1"/>
    <xf numFmtId="0" fontId="33" fillId="0" borderId="0" xfId="44" applyFont="1" applyBorder="1" applyAlignment="1">
      <alignment horizontal="left"/>
    </xf>
    <xf numFmtId="0" fontId="33" fillId="0" borderId="0" xfId="44" applyFont="1" applyFill="1" applyBorder="1" applyAlignment="1">
      <alignment vertical="center"/>
    </xf>
    <xf numFmtId="0" fontId="33" fillId="41" borderId="26" xfId="44" applyFont="1" applyFill="1" applyBorder="1" applyAlignment="1" applyProtection="1">
      <alignment horizontal="left" vertical="center"/>
      <protection hidden="1"/>
    </xf>
    <xf numFmtId="0" fontId="33" fillId="41" borderId="27" xfId="44" applyFont="1" applyFill="1" applyBorder="1" applyAlignment="1">
      <alignment horizontal="left"/>
    </xf>
    <xf numFmtId="0" fontId="33" fillId="27" borderId="26" xfId="44" applyFont="1" applyFill="1" applyBorder="1" applyAlignment="1"/>
    <xf numFmtId="0" fontId="33" fillId="27" borderId="50" xfId="44" applyFont="1" applyFill="1" applyBorder="1" applyAlignment="1">
      <alignment horizontal="left"/>
    </xf>
    <xf numFmtId="0" fontId="33" fillId="27" borderId="50" xfId="44" applyFont="1" applyFill="1" applyBorder="1" applyAlignment="1"/>
    <xf numFmtId="0" fontId="33" fillId="27" borderId="27" xfId="44" applyFont="1" applyFill="1" applyBorder="1" applyAlignment="1"/>
    <xf numFmtId="0" fontId="33" fillId="31" borderId="10" xfId="44" applyFont="1" applyFill="1" applyBorder="1" applyAlignment="1">
      <alignment horizontal="center"/>
    </xf>
    <xf numFmtId="0" fontId="33" fillId="41" borderId="10" xfId="44" applyFont="1" applyFill="1" applyBorder="1" applyAlignment="1">
      <alignment horizontal="center"/>
    </xf>
    <xf numFmtId="0" fontId="33" fillId="31" borderId="0" xfId="44" applyFont="1" applyFill="1" applyBorder="1" applyAlignment="1">
      <alignment horizontal="left"/>
    </xf>
    <xf numFmtId="0" fontId="33" fillId="31" borderId="0" xfId="44" applyFont="1" applyFill="1" applyBorder="1" applyAlignment="1">
      <alignment vertical="center"/>
    </xf>
    <xf numFmtId="0" fontId="33" fillId="31" borderId="26" xfId="44" applyFont="1" applyFill="1" applyBorder="1" applyAlignment="1">
      <alignment horizontal="center"/>
    </xf>
    <xf numFmtId="0" fontId="33" fillId="27" borderId="52" xfId="44" applyFont="1" applyFill="1" applyBorder="1" applyAlignment="1"/>
    <xf numFmtId="0" fontId="33" fillId="27" borderId="53" xfId="44" applyFont="1" applyFill="1" applyBorder="1" applyAlignment="1">
      <alignment horizontal="left"/>
    </xf>
    <xf numFmtId="178" fontId="159" fillId="0" borderId="10" xfId="44" applyNumberFormat="1" applyFont="1" applyFill="1" applyBorder="1" applyAlignment="1"/>
    <xf numFmtId="0" fontId="33" fillId="27" borderId="64" xfId="44" applyFont="1" applyFill="1" applyBorder="1" applyAlignment="1"/>
    <xf numFmtId="9" fontId="33" fillId="27" borderId="27" xfId="44" applyNumberFormat="1" applyFont="1" applyFill="1" applyBorder="1" applyAlignment="1"/>
    <xf numFmtId="178" fontId="33" fillId="0" borderId="10" xfId="44" applyNumberFormat="1" applyFont="1" applyFill="1" applyBorder="1" applyAlignment="1"/>
    <xf numFmtId="0" fontId="33" fillId="31" borderId="52" xfId="44" applyFont="1" applyFill="1" applyBorder="1" applyAlignment="1">
      <alignment horizontal="center"/>
    </xf>
    <xf numFmtId="0" fontId="33" fillId="31" borderId="64" xfId="44" applyFont="1" applyFill="1" applyBorder="1" applyAlignment="1"/>
    <xf numFmtId="0" fontId="33" fillId="31" borderId="17" xfId="44" applyFont="1" applyFill="1" applyBorder="1" applyAlignment="1">
      <alignment horizontal="left"/>
    </xf>
    <xf numFmtId="0" fontId="33" fillId="31" borderId="26" xfId="0" applyFont="1" applyFill="1" applyBorder="1">
      <alignment vertical="center"/>
    </xf>
    <xf numFmtId="9" fontId="33" fillId="31" borderId="27" xfId="44" applyNumberFormat="1" applyFont="1" applyFill="1" applyBorder="1" applyAlignment="1"/>
    <xf numFmtId="0" fontId="33" fillId="31" borderId="15" xfId="44" applyFont="1" applyFill="1" applyBorder="1" applyAlignment="1">
      <alignment horizontal="center"/>
    </xf>
    <xf numFmtId="0" fontId="33" fillId="31" borderId="55" xfId="44" applyFont="1" applyFill="1" applyBorder="1" applyAlignment="1">
      <alignment horizontal="center"/>
    </xf>
    <xf numFmtId="0" fontId="33" fillId="31" borderId="56" xfId="44" applyFont="1" applyFill="1" applyBorder="1" applyAlignment="1"/>
    <xf numFmtId="0" fontId="33" fillId="31" borderId="57" xfId="44" applyFont="1" applyFill="1" applyBorder="1" applyAlignment="1">
      <alignment horizontal="left"/>
    </xf>
    <xf numFmtId="0" fontId="33" fillId="31" borderId="0" xfId="44" applyFont="1" applyFill="1" applyBorder="1" applyAlignment="1">
      <alignment horizontal="center"/>
    </xf>
    <xf numFmtId="0" fontId="33" fillId="0" borderId="53" xfId="44" applyFont="1" applyBorder="1" applyAlignment="1"/>
    <xf numFmtId="0" fontId="33" fillId="27" borderId="10" xfId="44" applyFont="1" applyFill="1" applyBorder="1" applyAlignment="1">
      <alignment horizontal="center"/>
    </xf>
    <xf numFmtId="0" fontId="33" fillId="27" borderId="53" xfId="44" applyFont="1" applyFill="1" applyBorder="1" applyAlignment="1"/>
    <xf numFmtId="192" fontId="33" fillId="27" borderId="54" xfId="44" applyNumberFormat="1" applyFont="1" applyFill="1" applyBorder="1" applyAlignment="1">
      <alignment horizontal="left"/>
    </xf>
    <xf numFmtId="0" fontId="33" fillId="27" borderId="0" xfId="44" applyFont="1" applyFill="1" applyBorder="1" applyAlignment="1">
      <alignment horizontal="center"/>
    </xf>
    <xf numFmtId="40" fontId="33" fillId="0" borderId="10" xfId="35" applyNumberFormat="1" applyFont="1" applyFill="1" applyBorder="1" applyAlignment="1"/>
    <xf numFmtId="9" fontId="33" fillId="31" borderId="50" xfId="0" applyNumberFormat="1" applyFont="1" applyFill="1" applyBorder="1">
      <alignment vertical="center"/>
    </xf>
    <xf numFmtId="9" fontId="33" fillId="31" borderId="15" xfId="44" applyNumberFormat="1" applyFont="1" applyFill="1" applyBorder="1" applyAlignment="1">
      <alignment horizontal="center"/>
    </xf>
    <xf numFmtId="0" fontId="33" fillId="27" borderId="56" xfId="44" applyFont="1" applyFill="1" applyBorder="1" applyAlignment="1"/>
    <xf numFmtId="40" fontId="33" fillId="0" borderId="51" xfId="35" applyNumberFormat="1" applyFont="1" applyFill="1" applyBorder="1" applyAlignment="1"/>
    <xf numFmtId="0" fontId="33" fillId="27" borderId="50" xfId="44" applyFont="1" applyFill="1" applyBorder="1" applyAlignment="1">
      <alignment horizontal="center"/>
    </xf>
    <xf numFmtId="9" fontId="33" fillId="31" borderId="53" xfId="0" applyNumberFormat="1" applyFont="1" applyFill="1" applyBorder="1">
      <alignment vertical="center"/>
    </xf>
    <xf numFmtId="40" fontId="33" fillId="25" borderId="51" xfId="35" applyNumberFormat="1" applyFont="1" applyFill="1" applyBorder="1" applyAlignment="1"/>
    <xf numFmtId="0" fontId="33" fillId="0" borderId="53" xfId="44" applyFont="1" applyBorder="1" applyAlignment="1">
      <alignment horizontal="left"/>
    </xf>
    <xf numFmtId="0" fontId="33" fillId="0" borderId="52" xfId="44" applyFont="1" applyBorder="1" applyAlignment="1"/>
    <xf numFmtId="0" fontId="33" fillId="0" borderId="54" xfId="44" applyFont="1" applyBorder="1" applyAlignment="1"/>
    <xf numFmtId="0" fontId="28" fillId="0" borderId="0" xfId="44" applyFont="1" applyBorder="1" applyAlignment="1"/>
    <xf numFmtId="0" fontId="33" fillId="0" borderId="17" xfId="44" applyFont="1" applyBorder="1" applyAlignment="1"/>
    <xf numFmtId="0" fontId="33" fillId="0" borderId="64" xfId="44" applyFont="1" applyBorder="1" applyAlignment="1"/>
    <xf numFmtId="0" fontId="28" fillId="0" borderId="56" xfId="44" applyFont="1" applyBorder="1" applyAlignment="1"/>
    <xf numFmtId="0" fontId="33" fillId="0" borderId="57" xfId="44" applyFont="1" applyBorder="1" applyAlignment="1"/>
    <xf numFmtId="0" fontId="33" fillId="0" borderId="58" xfId="44" applyFont="1" applyBorder="1" applyAlignment="1"/>
    <xf numFmtId="213" fontId="33" fillId="0" borderId="0" xfId="44" applyNumberFormat="1" applyFont="1" applyBorder="1" applyAlignment="1"/>
    <xf numFmtId="0" fontId="33" fillId="0" borderId="10" xfId="44" applyFont="1" applyBorder="1" applyAlignment="1"/>
    <xf numFmtId="192" fontId="33" fillId="27" borderId="27" xfId="44" applyNumberFormat="1" applyFont="1" applyFill="1" applyBorder="1" applyAlignment="1">
      <alignment horizontal="left"/>
    </xf>
    <xf numFmtId="9" fontId="33" fillId="0" borderId="10" xfId="28" applyFont="1" applyFill="1" applyBorder="1" applyAlignment="1"/>
    <xf numFmtId="0" fontId="33" fillId="0" borderId="10" xfId="44" applyFont="1" applyFill="1" applyBorder="1" applyAlignment="1"/>
    <xf numFmtId="0" fontId="23" fillId="0" borderId="0" xfId="44" applyFont="1" applyBorder="1" applyAlignment="1"/>
    <xf numFmtId="0" fontId="33" fillId="0" borderId="0" xfId="44" applyFont="1" applyFill="1" applyBorder="1" applyAlignment="1" applyProtection="1">
      <alignment horizontal="left" vertical="center"/>
      <protection hidden="1"/>
    </xf>
    <xf numFmtId="0" fontId="33" fillId="0" borderId="0" xfId="44" applyFont="1" applyFill="1" applyBorder="1" applyAlignment="1">
      <alignment horizontal="left"/>
    </xf>
    <xf numFmtId="38" fontId="33" fillId="0" borderId="10" xfId="35" applyFont="1" applyBorder="1" applyAlignment="1"/>
    <xf numFmtId="38" fontId="33" fillId="0" borderId="0" xfId="35" applyFont="1" applyBorder="1" applyAlignment="1"/>
    <xf numFmtId="0" fontId="33" fillId="27" borderId="10" xfId="0" applyFont="1" applyFill="1" applyBorder="1" applyAlignment="1">
      <alignment vertical="center"/>
    </xf>
    <xf numFmtId="191" fontId="33" fillId="0" borderId="10" xfId="44" applyNumberFormat="1" applyFont="1" applyFill="1" applyBorder="1" applyAlignment="1"/>
    <xf numFmtId="0" fontId="33" fillId="0" borderId="0" xfId="44" applyFont="1" applyFill="1" applyBorder="1" applyAlignment="1"/>
    <xf numFmtId="0" fontId="45" fillId="0" borderId="57" xfId="0" applyFont="1" applyBorder="1">
      <alignment vertical="center"/>
    </xf>
    <xf numFmtId="0" fontId="0" fillId="0" borderId="57" xfId="0" applyBorder="1">
      <alignment vertical="center"/>
    </xf>
    <xf numFmtId="0" fontId="26" fillId="0" borderId="0" xfId="0" applyFont="1" applyAlignment="1">
      <alignment horizontal="right" vertical="center"/>
    </xf>
    <xf numFmtId="0" fontId="33" fillId="27" borderId="10" xfId="0" applyFont="1" applyFill="1" applyBorder="1" applyAlignment="1">
      <alignment horizontal="center" vertical="center" wrapText="1"/>
    </xf>
    <xf numFmtId="0" fontId="33" fillId="27" borderId="10" xfId="0" applyFont="1" applyFill="1" applyBorder="1" applyAlignment="1">
      <alignment horizontal="center" vertical="center"/>
    </xf>
    <xf numFmtId="0" fontId="33" fillId="27" borderId="51" xfId="0" applyFont="1" applyFill="1" applyBorder="1" applyAlignment="1">
      <alignment horizontal="center" vertical="center" wrapText="1"/>
    </xf>
    <xf numFmtId="193" fontId="33" fillId="27" borderId="10" xfId="0" applyNumberFormat="1" applyFont="1" applyFill="1" applyBorder="1" applyAlignment="1">
      <alignment horizontal="center" vertical="center"/>
    </xf>
    <xf numFmtId="0" fontId="33" fillId="27" borderId="55" xfId="0" applyFont="1" applyFill="1" applyBorder="1" applyAlignment="1">
      <alignment horizontal="center" vertical="center"/>
    </xf>
    <xf numFmtId="0" fontId="33" fillId="27" borderId="27" xfId="0" applyFont="1" applyFill="1" applyBorder="1" applyAlignment="1">
      <alignment horizontal="center" vertical="center" wrapText="1"/>
    </xf>
    <xf numFmtId="211" fontId="33" fillId="27" borderId="10" xfId="0" applyNumberFormat="1" applyFont="1" applyFill="1" applyBorder="1" applyAlignment="1">
      <alignment horizontal="center" vertical="center"/>
    </xf>
    <xf numFmtId="0" fontId="33" fillId="27" borderId="10" xfId="0" applyFont="1" applyFill="1" applyBorder="1" applyAlignment="1">
      <alignment vertical="center" wrapText="1"/>
    </xf>
    <xf numFmtId="0" fontId="33" fillId="27" borderId="15" xfId="0" applyFont="1" applyFill="1" applyBorder="1" applyAlignment="1">
      <alignment horizontal="center" vertical="center" wrapText="1"/>
    </xf>
    <xf numFmtId="179" fontId="33" fillId="27" borderId="10" xfId="0" applyNumberFormat="1" applyFont="1" applyFill="1" applyBorder="1" applyAlignment="1">
      <alignment horizontal="center" vertical="center"/>
    </xf>
    <xf numFmtId="0" fontId="33" fillId="27" borderId="10" xfId="0" applyFont="1" applyFill="1" applyBorder="1" applyAlignment="1" applyProtection="1">
      <alignment vertical="center" wrapText="1"/>
    </xf>
    <xf numFmtId="0" fontId="33" fillId="27" borderId="10" xfId="0" applyFont="1" applyFill="1" applyBorder="1" applyAlignment="1">
      <alignment horizontal="left" vertical="center" wrapText="1"/>
    </xf>
    <xf numFmtId="0" fontId="33" fillId="27" borderId="10" xfId="0" applyFont="1" applyFill="1" applyBorder="1" applyAlignment="1">
      <alignment horizontal="left" vertical="center" wrapText="1" shrinkToFit="1"/>
    </xf>
    <xf numFmtId="0" fontId="33" fillId="27" borderId="10" xfId="0" applyFont="1" applyFill="1" applyBorder="1" applyAlignment="1">
      <alignment horizontal="center" vertical="center" wrapText="1" shrinkToFit="1"/>
    </xf>
    <xf numFmtId="0" fontId="33" fillId="27" borderId="51" xfId="0" applyFont="1" applyFill="1" applyBorder="1" applyAlignment="1">
      <alignment horizontal="left" vertical="center" wrapText="1"/>
    </xf>
    <xf numFmtId="0" fontId="33" fillId="27" borderId="51" xfId="0" applyFont="1" applyFill="1" applyBorder="1" applyAlignment="1">
      <alignment horizontal="center" vertical="center" wrapText="1" shrinkToFit="1"/>
    </xf>
    <xf numFmtId="0" fontId="33" fillId="27" borderId="51" xfId="0" applyFont="1" applyFill="1" applyBorder="1" applyAlignment="1">
      <alignment vertical="center" wrapText="1"/>
    </xf>
    <xf numFmtId="0" fontId="33" fillId="27" borderId="64" xfId="0" applyFont="1" applyFill="1" applyBorder="1" applyAlignment="1">
      <alignment horizontal="center" vertical="center" wrapText="1"/>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wrapText="1"/>
    </xf>
    <xf numFmtId="0" fontId="33" fillId="27" borderId="50" xfId="0" applyFont="1" applyFill="1" applyBorder="1" applyAlignment="1">
      <alignment horizontal="left" vertical="center" wrapText="1" shrinkToFit="1"/>
    </xf>
    <xf numFmtId="0" fontId="33" fillId="27" borderId="27" xfId="0" applyFont="1" applyFill="1" applyBorder="1" applyAlignment="1">
      <alignment vertical="center" wrapText="1"/>
    </xf>
    <xf numFmtId="0" fontId="33" fillId="27" borderId="167" xfId="0" applyFont="1" applyFill="1" applyBorder="1" applyAlignment="1">
      <alignment horizontal="center" vertical="center" wrapText="1"/>
    </xf>
    <xf numFmtId="40" fontId="33" fillId="27" borderId="167" xfId="0" applyNumberFormat="1" applyFont="1" applyFill="1" applyBorder="1" applyAlignment="1">
      <alignment horizontal="center" vertical="center" wrapText="1"/>
    </xf>
    <xf numFmtId="178" fontId="33" fillId="27" borderId="167" xfId="0" applyNumberFormat="1" applyFont="1" applyFill="1" applyBorder="1" applyAlignment="1">
      <alignment horizontal="center" vertical="center" wrapText="1" shrinkToFit="1"/>
    </xf>
    <xf numFmtId="0" fontId="33" fillId="27" borderId="16" xfId="0" applyFont="1" applyFill="1" applyBorder="1" applyAlignment="1" applyProtection="1">
      <alignment vertical="center" wrapText="1"/>
    </xf>
    <xf numFmtId="0" fontId="33" fillId="27" borderId="11" xfId="0" applyFont="1" applyFill="1" applyBorder="1" applyAlignment="1">
      <alignment horizontal="center" vertical="center" wrapText="1"/>
    </xf>
    <xf numFmtId="40" fontId="33" fillId="27" borderId="11" xfId="0" applyNumberFormat="1" applyFont="1" applyFill="1" applyBorder="1" applyAlignment="1">
      <alignment horizontal="center" vertical="center" wrapText="1"/>
    </xf>
    <xf numFmtId="178" fontId="33" fillId="27" borderId="11" xfId="0" applyNumberFormat="1" applyFont="1" applyFill="1" applyBorder="1" applyAlignment="1">
      <alignment horizontal="center" vertical="center" wrapText="1" shrinkToFit="1"/>
    </xf>
    <xf numFmtId="0" fontId="33" fillId="27" borderId="167" xfId="0" applyFont="1" applyFill="1" applyBorder="1" applyAlignment="1" applyProtection="1">
      <alignment vertical="center" wrapText="1"/>
    </xf>
    <xf numFmtId="0" fontId="33" fillId="27" borderId="11" xfId="0" applyFont="1" applyFill="1" applyBorder="1" applyAlignment="1" applyProtection="1">
      <alignment vertical="center" wrapText="1"/>
    </xf>
    <xf numFmtId="0" fontId="33" fillId="27" borderId="177" xfId="0" applyFont="1" applyFill="1" applyBorder="1" applyAlignment="1">
      <alignment horizontal="center" vertical="center" wrapText="1"/>
    </xf>
    <xf numFmtId="0" fontId="33" fillId="27" borderId="177" xfId="0" applyFont="1" applyFill="1" applyBorder="1" applyAlignment="1">
      <alignment horizontal="center" vertical="center" wrapText="1" shrinkToFit="1"/>
    </xf>
    <xf numFmtId="0" fontId="33" fillId="27" borderId="177" xfId="0" applyFont="1" applyFill="1" applyBorder="1" applyAlignment="1" applyProtection="1">
      <alignment vertical="center" wrapText="1"/>
    </xf>
    <xf numFmtId="0" fontId="33" fillId="27" borderId="27" xfId="0" applyFont="1" applyFill="1" applyBorder="1" applyAlignment="1" applyProtection="1">
      <alignment vertical="center" wrapText="1"/>
    </xf>
    <xf numFmtId="0" fontId="33" fillId="27" borderId="53" xfId="0" applyFont="1" applyFill="1" applyBorder="1" applyAlignment="1">
      <alignment horizontal="left" vertical="center" wrapText="1" shrinkToFit="1"/>
    </xf>
    <xf numFmtId="0" fontId="33" fillId="27" borderId="54" xfId="0" applyFont="1" applyFill="1" applyBorder="1" applyAlignment="1">
      <alignment vertical="center"/>
    </xf>
    <xf numFmtId="9" fontId="33" fillId="27" borderId="175" xfId="0" applyNumberFormat="1" applyFont="1" applyFill="1" applyBorder="1" applyAlignment="1">
      <alignment horizontal="center" vertical="center" wrapText="1"/>
    </xf>
    <xf numFmtId="9" fontId="33" fillId="41" borderId="199" xfId="0" applyNumberFormat="1" applyFont="1" applyFill="1" applyBorder="1" applyAlignment="1" applyProtection="1">
      <alignment horizontal="center" vertical="center" wrapText="1"/>
      <protection locked="0"/>
    </xf>
    <xf numFmtId="0" fontId="33" fillId="41" borderId="200" xfId="0" applyFont="1" applyFill="1" applyBorder="1" applyAlignment="1" applyProtection="1">
      <alignment vertical="center"/>
      <protection locked="0"/>
    </xf>
    <xf numFmtId="9" fontId="33" fillId="41" borderId="116" xfId="0" applyNumberFormat="1" applyFont="1" applyFill="1" applyBorder="1" applyAlignment="1" applyProtection="1">
      <alignment horizontal="center" vertical="center" wrapText="1"/>
      <protection locked="0"/>
    </xf>
    <xf numFmtId="0" fontId="33" fillId="41" borderId="117" xfId="0" applyFont="1" applyFill="1" applyBorder="1" applyAlignment="1" applyProtection="1">
      <alignment vertical="center"/>
      <protection locked="0"/>
    </xf>
    <xf numFmtId="0" fontId="33" fillId="27" borderId="167" xfId="0" applyFont="1" applyFill="1" applyBorder="1" applyAlignment="1">
      <alignment vertical="center" wrapText="1"/>
    </xf>
    <xf numFmtId="0" fontId="33" fillId="27" borderId="168" xfId="0" applyFont="1" applyFill="1" applyBorder="1" applyAlignment="1">
      <alignment horizontal="center" vertical="center" wrapText="1"/>
    </xf>
    <xf numFmtId="9" fontId="33" fillId="27" borderId="169" xfId="0" applyNumberFormat="1" applyFont="1" applyFill="1" applyBorder="1" applyAlignment="1">
      <alignment horizontal="center" vertical="center" wrapText="1" shrinkToFit="1"/>
    </xf>
    <xf numFmtId="0" fontId="33" fillId="27" borderId="15" xfId="0" applyFont="1" applyFill="1" applyBorder="1" applyAlignment="1">
      <alignment vertical="center" wrapText="1"/>
    </xf>
    <xf numFmtId="0" fontId="33" fillId="27" borderId="54" xfId="0" applyFont="1" applyFill="1" applyBorder="1" applyAlignment="1">
      <alignment horizontal="center" vertical="center" wrapText="1"/>
    </xf>
    <xf numFmtId="179" fontId="33" fillId="27" borderId="51" xfId="0" applyNumberFormat="1" applyFont="1" applyFill="1" applyBorder="1" applyAlignment="1">
      <alignment horizontal="center" vertical="center"/>
    </xf>
    <xf numFmtId="179" fontId="33" fillId="27" borderId="15" xfId="0" applyNumberFormat="1" applyFont="1" applyFill="1" applyBorder="1" applyAlignment="1">
      <alignment horizontal="center" vertical="center"/>
    </xf>
    <xf numFmtId="0" fontId="33" fillId="27" borderId="26" xfId="0" applyFont="1" applyFill="1" applyBorder="1" applyAlignment="1">
      <alignment horizontal="center" vertical="center" wrapText="1"/>
    </xf>
    <xf numFmtId="0" fontId="33" fillId="27" borderId="50" xfId="0" applyFont="1" applyFill="1" applyBorder="1" applyAlignment="1">
      <alignment horizontal="center" vertical="center"/>
    </xf>
    <xf numFmtId="0" fontId="33" fillId="27" borderId="58" xfId="0" applyFont="1" applyFill="1" applyBorder="1" applyAlignment="1">
      <alignment horizontal="center" vertical="center" wrapText="1"/>
    </xf>
    <xf numFmtId="211" fontId="33" fillId="27" borderId="15" xfId="0" applyNumberFormat="1" applyFont="1" applyFill="1" applyBorder="1" applyAlignment="1">
      <alignment horizontal="center" vertical="center"/>
    </xf>
    <xf numFmtId="211" fontId="33" fillId="27" borderId="11" xfId="0" applyNumberFormat="1" applyFont="1" applyFill="1" applyBorder="1" applyAlignment="1">
      <alignment horizontal="center" vertical="center"/>
    </xf>
    <xf numFmtId="0" fontId="33" fillId="27" borderId="11" xfId="0" applyFont="1" applyFill="1" applyBorder="1" applyAlignment="1">
      <alignment vertical="center" wrapText="1"/>
    </xf>
    <xf numFmtId="9" fontId="33" fillId="27" borderId="15" xfId="0" applyNumberFormat="1" applyFont="1" applyFill="1" applyBorder="1" applyAlignment="1">
      <alignment horizontal="center" vertical="center"/>
    </xf>
    <xf numFmtId="0" fontId="33" fillId="27" borderId="15" xfId="0" applyFont="1" applyFill="1" applyBorder="1" applyAlignment="1">
      <alignment vertical="center"/>
    </xf>
    <xf numFmtId="9" fontId="33" fillId="27" borderId="11" xfId="0" applyNumberFormat="1" applyFont="1" applyFill="1" applyBorder="1" applyAlignment="1">
      <alignment horizontal="center" vertical="center"/>
    </xf>
    <xf numFmtId="0" fontId="33" fillId="27" borderId="11" xfId="0" applyFont="1" applyFill="1" applyBorder="1" applyAlignment="1">
      <alignment vertical="center"/>
    </xf>
    <xf numFmtId="9" fontId="33" fillId="27" borderId="55" xfId="0" applyNumberFormat="1" applyFont="1" applyFill="1" applyBorder="1" applyAlignment="1">
      <alignment horizontal="center" vertical="center"/>
    </xf>
    <xf numFmtId="0" fontId="33" fillId="27" borderId="55" xfId="0" applyFont="1" applyFill="1" applyBorder="1" applyAlignment="1">
      <alignment vertical="center"/>
    </xf>
    <xf numFmtId="0" fontId="33" fillId="27" borderId="55" xfId="0" applyFont="1" applyFill="1" applyBorder="1" applyAlignment="1">
      <alignment horizontal="center" vertical="center" wrapText="1"/>
    </xf>
    <xf numFmtId="0" fontId="33" fillId="27" borderId="50" xfId="0" applyFont="1" applyFill="1" applyBorder="1" applyAlignment="1">
      <alignment horizontal="center" vertical="center" wrapText="1"/>
    </xf>
    <xf numFmtId="0" fontId="33" fillId="27" borderId="27" xfId="0" applyFont="1" applyFill="1" applyBorder="1" applyAlignment="1">
      <alignment vertical="center"/>
    </xf>
    <xf numFmtId="179" fontId="33" fillId="27" borderId="167" xfId="0" quotePrefix="1" applyNumberFormat="1" applyFont="1" applyFill="1" applyBorder="1" applyAlignment="1">
      <alignment horizontal="center" vertical="center"/>
    </xf>
    <xf numFmtId="178" fontId="33" fillId="27" borderId="167" xfId="0" applyNumberFormat="1" applyFont="1" applyFill="1" applyBorder="1" applyAlignment="1">
      <alignment horizontal="center" vertical="center"/>
    </xf>
    <xf numFmtId="179" fontId="33" fillId="27" borderId="11" xfId="0" applyNumberFormat="1" applyFont="1" applyFill="1" applyBorder="1" applyAlignment="1">
      <alignment horizontal="center" vertical="center" wrapText="1"/>
    </xf>
    <xf numFmtId="179" fontId="33" fillId="27" borderId="11" xfId="0" applyNumberFormat="1" applyFont="1" applyFill="1" applyBorder="1" applyAlignment="1">
      <alignment horizontal="center" vertical="center"/>
    </xf>
    <xf numFmtId="0" fontId="33" fillId="27" borderId="11" xfId="0" applyFont="1" applyFill="1" applyBorder="1" applyAlignment="1" applyProtection="1">
      <alignment vertical="center" wrapText="1"/>
      <protection locked="0"/>
    </xf>
    <xf numFmtId="179" fontId="33" fillId="27" borderId="15" xfId="0" applyNumberFormat="1" applyFont="1" applyFill="1" applyBorder="1" applyAlignment="1">
      <alignment horizontal="right" vertical="center" wrapText="1"/>
    </xf>
    <xf numFmtId="179" fontId="33" fillId="27" borderId="167" xfId="0" applyNumberFormat="1" applyFont="1" applyFill="1" applyBorder="1" applyAlignment="1">
      <alignment horizontal="right" vertical="center" wrapText="1"/>
    </xf>
    <xf numFmtId="179" fontId="33" fillId="27" borderId="167" xfId="0" applyNumberFormat="1" applyFont="1" applyFill="1" applyBorder="1" applyAlignment="1">
      <alignment horizontal="center" vertical="center"/>
    </xf>
    <xf numFmtId="0" fontId="33" fillId="27" borderId="167" xfId="0" applyFont="1" applyFill="1" applyBorder="1" applyAlignment="1" applyProtection="1">
      <alignment vertical="center" wrapText="1"/>
      <protection locked="0"/>
    </xf>
    <xf numFmtId="179" fontId="33" fillId="27" borderId="55" xfId="0" applyNumberFormat="1" applyFont="1" applyFill="1" applyBorder="1" applyAlignment="1">
      <alignment horizontal="center" vertical="center"/>
    </xf>
    <xf numFmtId="179" fontId="33" fillId="27" borderId="55" xfId="0" quotePrefix="1" applyNumberFormat="1" applyFont="1" applyFill="1" applyBorder="1" applyAlignment="1">
      <alignment horizontal="center" vertical="center"/>
    </xf>
    <xf numFmtId="0" fontId="33" fillId="27" borderId="55" xfId="0" applyFont="1" applyFill="1" applyBorder="1" applyAlignment="1" applyProtection="1">
      <alignment vertical="center" wrapText="1"/>
    </xf>
    <xf numFmtId="0" fontId="33" fillId="27" borderId="16" xfId="0" applyFont="1" applyFill="1" applyBorder="1" applyAlignment="1">
      <alignment horizontal="center" vertical="center" wrapText="1"/>
    </xf>
    <xf numFmtId="179" fontId="33" fillId="27" borderId="15" xfId="0" quotePrefix="1" applyNumberFormat="1" applyFont="1" applyFill="1" applyBorder="1" applyAlignment="1">
      <alignment horizontal="center" vertical="center"/>
    </xf>
    <xf numFmtId="0" fontId="33" fillId="27" borderId="15" xfId="0" applyFont="1" applyFill="1" applyBorder="1" applyAlignment="1" applyProtection="1">
      <alignment vertical="center" wrapText="1"/>
    </xf>
    <xf numFmtId="0" fontId="33" fillId="27" borderId="11" xfId="0" applyFont="1" applyFill="1" applyBorder="1" applyAlignment="1">
      <alignment horizontal="left" vertical="center" wrapText="1"/>
    </xf>
    <xf numFmtId="179" fontId="33" fillId="27" borderId="11" xfId="0" quotePrefix="1" applyNumberFormat="1" applyFont="1" applyFill="1" applyBorder="1" applyAlignment="1">
      <alignment horizontal="center" vertical="center"/>
    </xf>
    <xf numFmtId="179" fontId="33" fillId="27" borderId="55" xfId="0" applyNumberFormat="1" applyFont="1" applyFill="1" applyBorder="1" applyAlignment="1">
      <alignment horizontal="left" vertical="center" wrapText="1"/>
    </xf>
    <xf numFmtId="38" fontId="33" fillId="27" borderId="51" xfId="35" applyFont="1" applyFill="1" applyBorder="1" applyAlignment="1">
      <alignment horizontal="center" vertical="center" wrapText="1"/>
    </xf>
    <xf numFmtId="0" fontId="33" fillId="27" borderId="51" xfId="0" applyFont="1" applyFill="1" applyBorder="1" applyAlignment="1">
      <alignment vertical="center"/>
    </xf>
    <xf numFmtId="0" fontId="33" fillId="27" borderId="26" xfId="0" applyFont="1" applyFill="1" applyBorder="1" applyAlignment="1">
      <alignment vertical="center"/>
    </xf>
    <xf numFmtId="0" fontId="33" fillId="27" borderId="195" xfId="0" applyFont="1" applyFill="1" applyBorder="1" applyAlignment="1">
      <alignment horizontal="center" vertical="center" shrinkToFit="1"/>
    </xf>
    <xf numFmtId="213" fontId="33" fillId="27" borderId="167" xfId="0" applyNumberFormat="1" applyFont="1" applyFill="1" applyBorder="1" applyAlignment="1">
      <alignment horizontal="center" vertical="center"/>
    </xf>
    <xf numFmtId="0" fontId="33" fillId="27" borderId="167" xfId="0" applyFont="1" applyFill="1" applyBorder="1" applyAlignment="1">
      <alignment horizontal="center" vertical="center"/>
    </xf>
    <xf numFmtId="0" fontId="33" fillId="27" borderId="14" xfId="0" applyFont="1" applyFill="1" applyBorder="1" applyAlignment="1">
      <alignment horizontal="center" vertical="center"/>
    </xf>
    <xf numFmtId="0" fontId="33" fillId="27" borderId="11" xfId="0" applyFont="1" applyFill="1" applyBorder="1" applyAlignment="1">
      <alignment horizontal="center" vertical="center"/>
    </xf>
    <xf numFmtId="0" fontId="33" fillId="27" borderId="170" xfId="0" applyFont="1" applyFill="1" applyBorder="1" applyAlignment="1">
      <alignment horizontal="center" vertical="center" wrapText="1"/>
    </xf>
    <xf numFmtId="0" fontId="33" fillId="27" borderId="168" xfId="0" applyFont="1" applyFill="1" applyBorder="1" applyAlignment="1">
      <alignment horizontal="center" vertical="center"/>
    </xf>
    <xf numFmtId="0" fontId="33" fillId="27" borderId="168" xfId="0" applyFont="1" applyFill="1" applyBorder="1" applyAlignment="1" applyProtection="1">
      <alignment vertical="center" wrapText="1"/>
      <protection locked="0"/>
    </xf>
    <xf numFmtId="0" fontId="33" fillId="27" borderId="0" xfId="0" applyFont="1" applyFill="1" applyBorder="1" applyAlignment="1">
      <alignment horizontal="center" vertical="center" wrapText="1"/>
    </xf>
    <xf numFmtId="0" fontId="33" fillId="41" borderId="55" xfId="0" applyFont="1" applyFill="1" applyBorder="1" applyAlignment="1" applyProtection="1">
      <alignment horizontal="center" vertical="center"/>
      <protection locked="0"/>
    </xf>
    <xf numFmtId="0" fontId="33" fillId="41" borderId="55" xfId="0" applyFont="1" applyFill="1" applyBorder="1" applyAlignment="1" applyProtection="1">
      <alignment vertical="center"/>
      <protection locked="0"/>
    </xf>
    <xf numFmtId="0" fontId="33" fillId="41" borderId="10" xfId="0" applyFont="1" applyFill="1" applyBorder="1" applyAlignment="1" applyProtection="1">
      <alignment horizontal="center" vertical="center"/>
      <protection locked="0"/>
    </xf>
    <xf numFmtId="0" fontId="33" fillId="41" borderId="10" xfId="0" applyFont="1" applyFill="1" applyBorder="1" applyAlignment="1" applyProtection="1">
      <alignment vertical="center"/>
      <protection locked="0"/>
    </xf>
    <xf numFmtId="211"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vertical="center" wrapText="1"/>
      <protection locked="0"/>
    </xf>
    <xf numFmtId="179"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horizontal="left" vertical="center" wrapText="1"/>
      <protection locked="0"/>
    </xf>
    <xf numFmtId="0" fontId="33" fillId="41" borderId="10" xfId="0" applyFont="1" applyFill="1" applyBorder="1" applyAlignment="1" applyProtection="1">
      <alignment horizontal="left" vertical="center" wrapText="1" shrinkToFit="1"/>
      <protection locked="0"/>
    </xf>
    <xf numFmtId="0" fontId="33" fillId="41" borderId="10" xfId="0" applyFont="1" applyFill="1" applyBorder="1" applyAlignment="1" applyProtection="1">
      <alignment horizontal="center" vertical="center" wrapText="1" shrinkToFit="1"/>
      <protection locked="0"/>
    </xf>
    <xf numFmtId="0" fontId="33" fillId="41" borderId="16" xfId="0" applyFont="1" applyFill="1" applyBorder="1" applyAlignment="1" applyProtection="1">
      <alignment horizontal="center" vertical="center" wrapText="1"/>
      <protection locked="0"/>
    </xf>
    <xf numFmtId="0" fontId="33" fillId="41" borderId="16" xfId="0" applyFont="1" applyFill="1" applyBorder="1" applyAlignment="1" applyProtection="1">
      <alignment horizontal="center" vertical="center" wrapText="1" shrinkToFit="1"/>
      <protection locked="0"/>
    </xf>
    <xf numFmtId="0" fontId="33" fillId="41" borderId="16" xfId="0" applyFont="1" applyFill="1" applyBorder="1" applyAlignment="1" applyProtection="1">
      <alignment vertical="center" wrapText="1"/>
      <protection locked="0"/>
    </xf>
    <xf numFmtId="0" fontId="33" fillId="27" borderId="11" xfId="0" applyFont="1" applyFill="1" applyBorder="1" applyAlignment="1">
      <alignment horizontal="center" vertical="center" shrinkToFit="1"/>
    </xf>
    <xf numFmtId="0" fontId="33" fillId="41" borderId="11" xfId="0" applyFont="1" applyFill="1" applyBorder="1" applyAlignment="1" applyProtection="1">
      <alignment horizontal="center" vertical="center" wrapText="1"/>
      <protection locked="0"/>
    </xf>
    <xf numFmtId="0" fontId="33" fillId="41" borderId="11" xfId="0" applyFont="1" applyFill="1" applyBorder="1" applyAlignment="1" applyProtection="1">
      <alignment horizontal="center" vertical="center" wrapText="1" shrinkToFit="1"/>
      <protection locked="0"/>
    </xf>
    <xf numFmtId="0" fontId="33" fillId="41" borderId="167" xfId="0" applyFont="1" applyFill="1" applyBorder="1" applyAlignment="1" applyProtection="1">
      <alignment vertical="center" wrapText="1"/>
      <protection locked="0"/>
    </xf>
    <xf numFmtId="0" fontId="33" fillId="41" borderId="11" xfId="0" applyFont="1" applyFill="1" applyBorder="1" applyAlignment="1" applyProtection="1">
      <alignment vertical="center" wrapText="1"/>
      <protection locked="0"/>
    </xf>
    <xf numFmtId="0" fontId="33" fillId="41" borderId="177" xfId="0" applyFont="1" applyFill="1" applyBorder="1" applyAlignment="1" applyProtection="1">
      <alignment horizontal="center" vertical="center" wrapText="1"/>
      <protection locked="0"/>
    </xf>
    <xf numFmtId="0" fontId="33" fillId="41" borderId="177" xfId="0" applyFont="1" applyFill="1" applyBorder="1" applyAlignment="1" applyProtection="1">
      <alignment horizontal="center" vertical="center" wrapText="1" shrinkToFit="1"/>
      <protection locked="0"/>
    </xf>
    <xf numFmtId="0" fontId="33" fillId="41" borderId="177" xfId="0" applyFont="1" applyFill="1" applyBorder="1" applyAlignment="1" applyProtection="1">
      <alignment vertical="center" wrapText="1"/>
      <protection locked="0"/>
    </xf>
    <xf numFmtId="0" fontId="33" fillId="41" borderId="167" xfId="0" applyFont="1" applyFill="1" applyBorder="1" applyAlignment="1" applyProtection="1">
      <alignment horizontal="center" vertical="center" wrapText="1"/>
      <protection locked="0"/>
    </xf>
    <xf numFmtId="0" fontId="33" fillId="41" borderId="167" xfId="0" applyFont="1" applyFill="1" applyBorder="1" applyAlignment="1" applyProtection="1">
      <alignment horizontal="center" vertical="center" wrapText="1" shrinkToFit="1"/>
      <protection locked="0"/>
    </xf>
    <xf numFmtId="0" fontId="33" fillId="27" borderId="11" xfId="0" applyFont="1" applyFill="1" applyBorder="1" applyAlignment="1" applyProtection="1">
      <alignment horizontal="center" vertical="center" wrapText="1"/>
      <protection locked="0"/>
    </xf>
    <xf numFmtId="9" fontId="33" fillId="41" borderId="167" xfId="0" applyNumberFormat="1" applyFont="1" applyFill="1" applyBorder="1" applyAlignment="1" applyProtection="1">
      <alignment horizontal="center" vertical="center" wrapText="1"/>
      <protection locked="0"/>
    </xf>
    <xf numFmtId="0" fontId="33" fillId="41" borderId="167" xfId="0" applyFont="1" applyFill="1" applyBorder="1" applyAlignment="1" applyProtection="1">
      <alignment vertical="center"/>
      <protection locked="0"/>
    </xf>
    <xf numFmtId="0" fontId="33" fillId="41" borderId="11" xfId="0" applyFont="1" applyFill="1" applyBorder="1" applyAlignment="1" applyProtection="1">
      <alignment vertical="center"/>
      <protection locked="0"/>
    </xf>
    <xf numFmtId="9" fontId="33" fillId="41" borderId="168" xfId="0" applyNumberFormat="1" applyFont="1" applyFill="1" applyBorder="1" applyAlignment="1" applyProtection="1">
      <alignment horizontal="center" vertical="center" wrapText="1" shrinkToFit="1"/>
      <protection locked="0"/>
    </xf>
    <xf numFmtId="0" fontId="33" fillId="41" borderId="168" xfId="0" applyFont="1" applyFill="1" applyBorder="1" applyAlignment="1" applyProtection="1">
      <alignment vertical="center"/>
      <protection locked="0"/>
    </xf>
    <xf numFmtId="179" fontId="33" fillId="41" borderId="51" xfId="0" applyNumberFormat="1" applyFont="1" applyFill="1" applyBorder="1" applyAlignment="1" applyProtection="1">
      <alignment horizontal="center" vertical="center"/>
      <protection locked="0"/>
    </xf>
    <xf numFmtId="211" fontId="33" fillId="41" borderId="55" xfId="0" applyNumberFormat="1" applyFont="1" applyFill="1" applyBorder="1" applyAlignment="1" applyProtection="1">
      <alignment horizontal="center" vertical="center"/>
      <protection locked="0"/>
    </xf>
    <xf numFmtId="0" fontId="33" fillId="41" borderId="55" xfId="0" applyFont="1" applyFill="1" applyBorder="1" applyAlignment="1" applyProtection="1">
      <alignment vertical="center" wrapText="1"/>
      <protection locked="0"/>
    </xf>
    <xf numFmtId="211" fontId="33" fillId="41" borderId="51" xfId="0" applyNumberFormat="1" applyFont="1" applyFill="1" applyBorder="1" applyAlignment="1" applyProtection="1">
      <alignment horizontal="center" vertical="center"/>
      <protection locked="0"/>
    </xf>
    <xf numFmtId="0" fontId="33" fillId="41" borderId="51" xfId="0" applyFont="1" applyFill="1" applyBorder="1" applyAlignment="1" applyProtection="1">
      <alignment vertical="center" wrapText="1"/>
      <protection locked="0"/>
    </xf>
    <xf numFmtId="9" fontId="33" fillId="41" borderId="55" xfId="0" applyNumberFormat="1" applyFont="1" applyFill="1" applyBorder="1" applyAlignment="1" applyProtection="1">
      <alignment horizontal="center" vertical="center"/>
      <protection locked="0"/>
    </xf>
    <xf numFmtId="9"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horizontal="center" vertical="center" wrapText="1"/>
      <protection locked="0"/>
    </xf>
    <xf numFmtId="178" fontId="33" fillId="41" borderId="167" xfId="0" applyNumberFormat="1" applyFont="1" applyFill="1" applyBorder="1" applyAlignment="1" applyProtection="1">
      <alignment horizontal="center" vertical="center"/>
      <protection locked="0"/>
    </xf>
    <xf numFmtId="0" fontId="33" fillId="27" borderId="17" xfId="0" applyFont="1" applyFill="1" applyBorder="1" applyAlignment="1">
      <alignment horizontal="center" vertical="center" wrapText="1"/>
    </xf>
    <xf numFmtId="178" fontId="33" fillId="41" borderId="11" xfId="0" applyNumberFormat="1" applyFont="1" applyFill="1" applyBorder="1" applyAlignment="1" applyProtection="1">
      <alignment horizontal="center" vertical="center"/>
      <protection locked="0"/>
    </xf>
    <xf numFmtId="178" fontId="33" fillId="41" borderId="15" xfId="0" applyNumberFormat="1" applyFont="1" applyFill="1" applyBorder="1" applyAlignment="1" applyProtection="1">
      <alignment horizontal="center" vertical="center"/>
      <protection locked="0"/>
    </xf>
    <xf numFmtId="179" fontId="33" fillId="41" borderId="55" xfId="0" applyNumberFormat="1" applyFont="1" applyFill="1" applyBorder="1" applyAlignment="1" applyProtection="1">
      <alignment horizontal="center" vertical="center"/>
      <protection locked="0"/>
    </xf>
    <xf numFmtId="0" fontId="33" fillId="41" borderId="168" xfId="0" applyFont="1" applyFill="1" applyBorder="1" applyAlignment="1" applyProtection="1">
      <alignment vertical="center" wrapText="1"/>
      <protection locked="0"/>
    </xf>
    <xf numFmtId="38" fontId="33" fillId="41" borderId="51" xfId="35" applyFont="1" applyFill="1" applyBorder="1" applyAlignment="1" applyProtection="1">
      <alignment horizontal="center" vertical="center" wrapText="1"/>
      <protection locked="0"/>
    </xf>
    <xf numFmtId="0" fontId="33" fillId="41" borderId="51" xfId="0" applyFont="1" applyFill="1" applyBorder="1" applyAlignment="1" applyProtection="1">
      <alignment vertical="center"/>
      <protection locked="0"/>
    </xf>
    <xf numFmtId="0" fontId="33" fillId="41" borderId="167" xfId="0" applyFont="1" applyFill="1" applyBorder="1" applyAlignment="1" applyProtection="1">
      <alignment horizontal="center" vertical="center"/>
      <protection locked="0"/>
    </xf>
    <xf numFmtId="0" fontId="33" fillId="41" borderId="11" xfId="0" applyFont="1" applyFill="1" applyBorder="1" applyAlignment="1" applyProtection="1">
      <alignment horizontal="center" vertical="center"/>
      <protection locked="0"/>
    </xf>
    <xf numFmtId="0" fontId="33" fillId="41" borderId="170" xfId="0" applyFont="1" applyFill="1" applyBorder="1" applyAlignment="1" applyProtection="1">
      <alignment horizontal="center" vertical="center" wrapText="1"/>
      <protection locked="0"/>
    </xf>
    <xf numFmtId="0" fontId="33" fillId="41" borderId="168" xfId="0" applyFont="1" applyFill="1" applyBorder="1" applyAlignment="1" applyProtection="1">
      <alignment horizontal="center" vertical="center"/>
      <protection locked="0"/>
    </xf>
    <xf numFmtId="38" fontId="33" fillId="27" borderId="11" xfId="35" applyFont="1" applyFill="1" applyBorder="1" applyAlignment="1">
      <alignment horizontal="center" vertical="center" wrapText="1" shrinkToFit="1"/>
    </xf>
    <xf numFmtId="0" fontId="33" fillId="27" borderId="177" xfId="0" applyFont="1" applyFill="1" applyBorder="1" applyAlignment="1" applyProtection="1">
      <alignment vertical="center" wrapText="1"/>
      <protection locked="0"/>
    </xf>
    <xf numFmtId="190" fontId="33" fillId="27" borderId="11" xfId="0" applyNumberFormat="1" applyFont="1" applyFill="1" applyBorder="1" applyAlignment="1">
      <alignment horizontal="center" vertical="center" wrapText="1" shrinkToFit="1"/>
    </xf>
    <xf numFmtId="0" fontId="33" fillId="27" borderId="167" xfId="0" applyFont="1" applyFill="1" applyBorder="1" applyAlignment="1">
      <alignment horizontal="left" vertical="center"/>
    </xf>
    <xf numFmtId="38" fontId="33" fillId="27" borderId="167" xfId="35" applyFont="1" applyFill="1" applyBorder="1" applyAlignment="1">
      <alignment horizontal="center" vertical="center" wrapText="1" shrinkToFit="1"/>
    </xf>
    <xf numFmtId="40" fontId="33" fillId="27" borderId="177" xfId="0" applyNumberFormat="1" applyFont="1" applyFill="1" applyBorder="1" applyAlignment="1">
      <alignment horizontal="center" vertical="center" wrapText="1"/>
    </xf>
    <xf numFmtId="38" fontId="33" fillId="27" borderId="177" xfId="35" applyFont="1" applyFill="1" applyBorder="1" applyAlignment="1">
      <alignment horizontal="center" vertical="center" wrapText="1" shrinkToFit="1"/>
    </xf>
    <xf numFmtId="40" fontId="33" fillId="27" borderId="168" xfId="0" applyNumberFormat="1" applyFont="1" applyFill="1" applyBorder="1" applyAlignment="1">
      <alignment horizontal="center" vertical="center" wrapText="1"/>
    </xf>
    <xf numFmtId="178" fontId="33" fillId="27" borderId="168" xfId="0" applyNumberFormat="1" applyFont="1" applyFill="1" applyBorder="1" applyAlignment="1">
      <alignment horizontal="center" vertical="center" wrapText="1" shrinkToFit="1"/>
    </xf>
    <xf numFmtId="0" fontId="33" fillId="0" borderId="0" xfId="0" applyFont="1" applyFill="1" applyAlignment="1">
      <alignment horizontal="left"/>
    </xf>
    <xf numFmtId="0" fontId="33" fillId="0" borderId="0" xfId="0" applyFont="1" applyFill="1" applyAlignment="1">
      <alignment shrinkToFit="1"/>
    </xf>
    <xf numFmtId="190" fontId="33" fillId="0" borderId="0" xfId="35" applyNumberFormat="1" applyFont="1" applyFill="1" applyBorder="1" applyAlignment="1"/>
    <xf numFmtId="178" fontId="33" fillId="0" borderId="0" xfId="35" applyNumberFormat="1" applyFont="1" applyFill="1" applyBorder="1" applyAlignment="1"/>
    <xf numFmtId="49" fontId="33" fillId="0" borderId="0" xfId="35" applyNumberFormat="1" applyFont="1" applyFill="1" applyBorder="1" applyAlignment="1">
      <alignment horizontal="center"/>
    </xf>
    <xf numFmtId="2" fontId="33" fillId="0" borderId="0" xfId="0" applyNumberFormat="1" applyFont="1" applyFill="1" applyBorder="1" applyAlignment="1">
      <alignment horizontal="left" shrinkToFit="1"/>
    </xf>
    <xf numFmtId="2" fontId="33" fillId="0" borderId="0" xfId="0" applyNumberFormat="1" applyFont="1" applyFill="1" applyBorder="1" applyAlignment="1">
      <alignment horizontal="center"/>
    </xf>
    <xf numFmtId="0" fontId="6" fillId="0" borderId="0" xfId="0" applyNumberFormat="1" applyFont="1">
      <alignment vertical="center"/>
    </xf>
    <xf numFmtId="0" fontId="6" fillId="0" borderId="0" xfId="0" applyFont="1" applyAlignment="1">
      <alignment horizontal="left" vertical="center" shrinkToFit="1"/>
    </xf>
    <xf numFmtId="178" fontId="148" fillId="0" borderId="0" xfId="35" applyNumberFormat="1" applyFont="1" applyFill="1" applyBorder="1" applyAlignment="1" applyProtection="1">
      <protection hidden="1"/>
    </xf>
    <xf numFmtId="0" fontId="33" fillId="0" borderId="0" xfId="0" applyFont="1" applyFill="1" applyAlignment="1" applyProtection="1">
      <alignment shrinkToFit="1"/>
      <protection hidden="1"/>
    </xf>
    <xf numFmtId="0" fontId="149" fillId="0" borderId="0" xfId="0" applyNumberFormat="1" applyFont="1" applyFill="1" applyBorder="1" applyAlignment="1" applyProtection="1">
      <alignment horizontal="left" vertical="center"/>
      <protection hidden="1"/>
    </xf>
    <xf numFmtId="178" fontId="149" fillId="0" borderId="0" xfId="35" applyNumberFormat="1" applyFont="1" applyFill="1" applyBorder="1" applyAlignment="1" applyProtection="1">
      <protection hidden="1"/>
    </xf>
    <xf numFmtId="178" fontId="33" fillId="0" borderId="0" xfId="35" applyNumberFormat="1" applyFont="1" applyFill="1" applyBorder="1" applyAlignment="1" applyProtection="1">
      <protection hidden="1"/>
    </xf>
    <xf numFmtId="2" fontId="148" fillId="0" borderId="0" xfId="0" applyNumberFormat="1" applyFont="1" applyFill="1" applyBorder="1" applyAlignment="1" applyProtection="1">
      <alignment horizontal="left"/>
      <protection hidden="1"/>
    </xf>
    <xf numFmtId="49" fontId="148" fillId="0" borderId="0" xfId="0" applyNumberFormat="1" applyFont="1" applyFill="1" applyBorder="1" applyProtection="1">
      <alignment vertical="center"/>
      <protection hidden="1"/>
    </xf>
    <xf numFmtId="0" fontId="149" fillId="0" borderId="0" xfId="0" applyFont="1" applyAlignment="1">
      <alignment vertical="center" shrinkToFit="1"/>
    </xf>
    <xf numFmtId="0" fontId="149" fillId="0" borderId="0" xfId="0" applyFont="1">
      <alignment vertical="center"/>
    </xf>
    <xf numFmtId="2" fontId="149" fillId="0" borderId="0" xfId="0" applyNumberFormat="1" applyFont="1" applyFill="1" applyBorder="1" applyAlignment="1" applyProtection="1">
      <alignment horizontal="center"/>
      <protection hidden="1"/>
    </xf>
    <xf numFmtId="0" fontId="149" fillId="0" borderId="0" xfId="0" applyNumberFormat="1" applyFont="1">
      <alignment vertical="center"/>
    </xf>
    <xf numFmtId="0" fontId="149" fillId="0" borderId="0" xfId="0" applyFont="1" applyAlignment="1">
      <alignment horizontal="left" vertical="center" shrinkToFit="1"/>
    </xf>
    <xf numFmtId="0" fontId="149" fillId="0" borderId="0" xfId="0" applyFont="1" applyFill="1">
      <alignment vertical="center"/>
    </xf>
    <xf numFmtId="0" fontId="148" fillId="0" borderId="0" xfId="0" applyNumberFormat="1" applyFont="1" applyFill="1" applyBorder="1" applyProtection="1">
      <alignment vertical="center"/>
      <protection hidden="1"/>
    </xf>
    <xf numFmtId="2" fontId="6" fillId="0" borderId="0" xfId="0" applyNumberFormat="1" applyFont="1" applyFill="1" applyBorder="1" applyAlignment="1" applyProtection="1">
      <alignment horizontal="left" shrinkToFit="1"/>
      <protection hidden="1"/>
    </xf>
    <xf numFmtId="1" fontId="148" fillId="0" borderId="0" xfId="0" applyNumberFormat="1" applyFont="1" applyFill="1" applyBorder="1" applyAlignment="1" applyProtection="1">
      <alignment horizontal="center"/>
      <protection hidden="1"/>
    </xf>
    <xf numFmtId="2" fontId="149" fillId="0" borderId="0" xfId="0" applyNumberFormat="1" applyFont="1" applyFill="1" applyBorder="1" applyAlignment="1" applyProtection="1">
      <alignment horizontal="left" shrinkToFit="1"/>
      <protection hidden="1"/>
    </xf>
    <xf numFmtId="0" fontId="6" fillId="35" borderId="52" xfId="0" applyFont="1" applyFill="1" applyBorder="1" applyAlignment="1" applyProtection="1">
      <alignment horizontal="center" vertical="center"/>
      <protection hidden="1"/>
    </xf>
    <xf numFmtId="0" fontId="6" fillId="35" borderId="54" xfId="0" applyFont="1" applyFill="1" applyBorder="1" applyAlignment="1" applyProtection="1">
      <alignment horizontal="center" vertical="center" shrinkToFit="1"/>
      <protection hidden="1"/>
    </xf>
    <xf numFmtId="0" fontId="6" fillId="35" borderId="26" xfId="0" applyFont="1" applyFill="1" applyBorder="1" applyAlignment="1" applyProtection="1">
      <alignment horizontal="centerContinuous" vertical="center"/>
      <protection hidden="1"/>
    </xf>
    <xf numFmtId="0" fontId="6" fillId="35" borderId="27" xfId="0" applyFont="1" applyFill="1" applyBorder="1" applyAlignment="1" applyProtection="1">
      <alignment horizontal="centerContinuous" vertical="center"/>
      <protection hidden="1"/>
    </xf>
    <xf numFmtId="0" fontId="33" fillId="35" borderId="26" xfId="0" applyFont="1" applyFill="1" applyBorder="1" applyAlignment="1" applyProtection="1">
      <alignment horizontal="centerContinuous" vertical="center"/>
      <protection hidden="1"/>
    </xf>
    <xf numFmtId="0" fontId="33" fillId="35" borderId="27" xfId="0" applyFont="1" applyFill="1" applyBorder="1" applyAlignment="1" applyProtection="1">
      <alignment horizontal="centerContinuous" vertical="center"/>
      <protection hidden="1"/>
    </xf>
    <xf numFmtId="178" fontId="33" fillId="35" borderId="10" xfId="35" applyNumberFormat="1" applyFont="1" applyFill="1" applyBorder="1" applyAlignment="1" applyProtection="1">
      <alignment horizontal="centerContinuous" vertical="center"/>
      <protection hidden="1"/>
    </xf>
    <xf numFmtId="0" fontId="33" fillId="35" borderId="50" xfId="0" applyFont="1" applyFill="1" applyBorder="1" applyAlignment="1" applyProtection="1">
      <alignment horizontal="centerContinuous" vertical="center"/>
      <protection hidden="1"/>
    </xf>
    <xf numFmtId="0" fontId="6" fillId="35" borderId="10" xfId="0" applyFont="1" applyFill="1" applyBorder="1" applyAlignment="1" applyProtection="1">
      <alignment horizontal="center" vertical="center"/>
      <protection hidden="1"/>
    </xf>
    <xf numFmtId="0" fontId="6" fillId="35" borderId="10" xfId="0" applyFont="1" applyFill="1" applyBorder="1" applyAlignment="1" applyProtection="1">
      <alignment horizontal="center" vertical="center" shrinkToFit="1"/>
      <protection hidden="1"/>
    </xf>
    <xf numFmtId="2" fontId="33" fillId="35" borderId="10" xfId="0" applyNumberFormat="1" applyFont="1" applyFill="1" applyBorder="1" applyAlignment="1" applyProtection="1">
      <alignment horizontal="center"/>
      <protection hidden="1"/>
    </xf>
    <xf numFmtId="0" fontId="6" fillId="35" borderId="10" xfId="0" applyNumberFormat="1" applyFont="1" applyFill="1" applyBorder="1" applyAlignment="1" applyProtection="1">
      <alignment horizontal="center" vertical="center"/>
      <protection hidden="1"/>
    </xf>
    <xf numFmtId="0" fontId="6" fillId="35" borderId="10" xfId="0" applyFont="1" applyFill="1" applyBorder="1" applyAlignment="1" applyProtection="1">
      <alignment horizontal="left" vertical="center" shrinkToFit="1"/>
      <protection hidden="1"/>
    </xf>
    <xf numFmtId="0" fontId="6" fillId="35" borderId="56" xfId="0" applyFont="1" applyFill="1" applyBorder="1" applyAlignment="1" applyProtection="1">
      <alignment horizontal="center" vertical="center" shrinkToFit="1"/>
      <protection hidden="1"/>
    </xf>
    <xf numFmtId="0" fontId="6" fillId="35" borderId="58" xfId="0" applyFont="1" applyFill="1" applyBorder="1" applyAlignment="1" applyProtection="1">
      <alignment horizontal="center" vertical="center" shrinkToFit="1"/>
      <protection hidden="1"/>
    </xf>
    <xf numFmtId="178" fontId="33" fillId="35" borderId="10" xfId="35" applyNumberFormat="1" applyFont="1" applyFill="1" applyBorder="1" applyAlignment="1" applyProtection="1">
      <alignment horizontal="center" shrinkToFit="1"/>
      <protection hidden="1"/>
    </xf>
    <xf numFmtId="2" fontId="33" fillId="35" borderId="10" xfId="0" applyNumberFormat="1" applyFont="1" applyFill="1" applyBorder="1" applyAlignment="1" applyProtection="1">
      <alignment horizontal="center" vertical="top" shrinkToFit="1"/>
      <protection hidden="1"/>
    </xf>
    <xf numFmtId="2" fontId="33" fillId="35" borderId="26" xfId="0" applyNumberFormat="1" applyFont="1" applyFill="1" applyBorder="1" applyAlignment="1" applyProtection="1">
      <alignment horizontal="center" vertical="top" shrinkToFit="1"/>
      <protection hidden="1"/>
    </xf>
    <xf numFmtId="2" fontId="33" fillId="35" borderId="27" xfId="0" applyNumberFormat="1" applyFont="1" applyFill="1" applyBorder="1" applyAlignment="1" applyProtection="1">
      <alignment horizontal="center" vertical="top" shrinkToFit="1"/>
      <protection hidden="1"/>
    </xf>
    <xf numFmtId="0" fontId="6" fillId="35" borderId="10" xfId="0" applyNumberFormat="1" applyFont="1" applyFill="1" applyBorder="1" applyAlignment="1" applyProtection="1">
      <alignment horizontal="center" vertical="center" shrinkToFit="1"/>
      <protection hidden="1"/>
    </xf>
    <xf numFmtId="0" fontId="6" fillId="0" borderId="0" xfId="0" applyFont="1" applyFill="1" applyAlignment="1">
      <alignment vertical="center" shrinkToFit="1"/>
    </xf>
    <xf numFmtId="0" fontId="6" fillId="35" borderId="56" xfId="0" applyFont="1" applyFill="1" applyBorder="1" applyAlignment="1" applyProtection="1">
      <alignment horizontal="center" vertical="center"/>
      <protection hidden="1"/>
    </xf>
    <xf numFmtId="0" fontId="33" fillId="35" borderId="58" xfId="0" applyFont="1" applyFill="1" applyBorder="1" applyAlignment="1" applyProtection="1">
      <alignment horizontal="center" vertical="center" shrinkToFit="1"/>
      <protection hidden="1"/>
    </xf>
    <xf numFmtId="190" fontId="33" fillId="35" borderId="27" xfId="35" applyNumberFormat="1" applyFont="1" applyFill="1" applyBorder="1" applyAlignment="1" applyProtection="1">
      <protection hidden="1"/>
    </xf>
    <xf numFmtId="178" fontId="33" fillId="35" borderId="10" xfId="35" applyNumberFormat="1" applyFont="1" applyFill="1" applyBorder="1" applyAlignment="1" applyProtection="1">
      <alignment horizontal="center"/>
      <protection hidden="1"/>
    </xf>
    <xf numFmtId="197" fontId="33" fillId="35" borderId="10" xfId="35" applyNumberFormat="1" applyFont="1" applyFill="1" applyBorder="1" applyAlignment="1" applyProtection="1">
      <alignment horizontal="center" vertical="top"/>
      <protection hidden="1"/>
    </xf>
    <xf numFmtId="197" fontId="33" fillId="35" borderId="26" xfId="35" applyNumberFormat="1" applyFont="1" applyFill="1" applyBorder="1" applyAlignment="1" applyProtection="1">
      <alignment horizontal="center" vertical="top"/>
      <protection hidden="1"/>
    </xf>
    <xf numFmtId="40" fontId="33" fillId="35" borderId="10" xfId="35" applyNumberFormat="1" applyFont="1" applyFill="1" applyBorder="1" applyAlignment="1" applyProtection="1">
      <alignment horizontal="center" vertical="top"/>
      <protection hidden="1"/>
    </xf>
    <xf numFmtId="40" fontId="33" fillId="35" borderId="26" xfId="35" applyNumberFormat="1" applyFont="1" applyFill="1" applyBorder="1" applyAlignment="1" applyProtection="1">
      <alignment horizontal="center" vertical="top"/>
      <protection hidden="1"/>
    </xf>
    <xf numFmtId="0" fontId="23" fillId="35" borderId="10" xfId="0" applyFont="1" applyFill="1" applyBorder="1" applyAlignment="1" applyProtection="1">
      <alignment horizontal="center" vertical="center"/>
      <protection hidden="1"/>
    </xf>
    <xf numFmtId="0" fontId="45" fillId="35" borderId="58" xfId="0" applyFont="1" applyFill="1" applyBorder="1" applyAlignment="1" applyProtection="1">
      <alignment horizontal="left" vertical="center" shrinkToFit="1"/>
      <protection hidden="1"/>
    </xf>
    <xf numFmtId="190" fontId="125" fillId="35" borderId="27" xfId="35" applyNumberFormat="1" applyFont="1" applyFill="1" applyBorder="1" applyAlignment="1" applyProtection="1">
      <protection hidden="1"/>
    </xf>
    <xf numFmtId="178" fontId="125" fillId="35" borderId="10" xfId="35" applyNumberFormat="1" applyFont="1" applyFill="1" applyBorder="1" applyAlignment="1" applyProtection="1">
      <alignment horizontal="center"/>
      <protection hidden="1"/>
    </xf>
    <xf numFmtId="197" fontId="33" fillId="35" borderId="27" xfId="0" applyNumberFormat="1" applyFont="1" applyFill="1" applyBorder="1" applyAlignment="1" applyProtection="1">
      <alignment horizontal="center" vertical="top"/>
      <protection hidden="1"/>
    </xf>
    <xf numFmtId="197" fontId="33" fillId="35" borderId="10" xfId="0" applyNumberFormat="1" applyFont="1" applyFill="1" applyBorder="1" applyAlignment="1" applyProtection="1">
      <alignment horizontal="center" vertical="top"/>
      <protection hidden="1"/>
    </xf>
    <xf numFmtId="0" fontId="23" fillId="35" borderId="10" xfId="0" applyNumberFormat="1" applyFont="1" applyFill="1" applyBorder="1" applyAlignment="1" applyProtection="1">
      <alignment horizontal="center" vertical="center"/>
      <protection hidden="1"/>
    </xf>
    <xf numFmtId="0" fontId="23" fillId="35" borderId="10" xfId="0" applyFont="1" applyFill="1" applyBorder="1" applyAlignment="1" applyProtection="1">
      <alignment horizontal="left" vertical="center" shrinkToFit="1"/>
      <protection hidden="1"/>
    </xf>
    <xf numFmtId="40" fontId="125" fillId="35" borderId="10" xfId="35" applyNumberFormat="1" applyFont="1" applyFill="1" applyBorder="1" applyAlignment="1" applyProtection="1">
      <alignment horizontal="center" vertical="top"/>
      <protection hidden="1"/>
    </xf>
    <xf numFmtId="40" fontId="125" fillId="35" borderId="26" xfId="35" applyNumberFormat="1" applyFont="1" applyFill="1" applyBorder="1" applyAlignment="1" applyProtection="1">
      <alignment horizontal="center" vertical="top"/>
      <protection hidden="1"/>
    </xf>
    <xf numFmtId="2" fontId="125" fillId="35" borderId="27" xfId="0" applyNumberFormat="1" applyFont="1" applyFill="1" applyBorder="1" applyAlignment="1" applyProtection="1">
      <alignment horizontal="center" vertical="top"/>
      <protection hidden="1"/>
    </xf>
    <xf numFmtId="2" fontId="125" fillId="35" borderId="10" xfId="0" applyNumberFormat="1" applyFont="1" applyFill="1" applyBorder="1" applyAlignment="1" applyProtection="1">
      <alignment horizontal="center" vertical="top"/>
      <protection hidden="1"/>
    </xf>
    <xf numFmtId="0" fontId="125" fillId="31" borderId="10" xfId="0" applyNumberFormat="1" applyFont="1" applyFill="1" applyBorder="1" applyAlignment="1" applyProtection="1">
      <alignment horizontal="left" vertical="center"/>
      <protection hidden="1"/>
    </xf>
    <xf numFmtId="0" fontId="125" fillId="31" borderId="10" xfId="0" applyNumberFormat="1" applyFont="1" applyFill="1" applyBorder="1" applyAlignment="1" applyProtection="1">
      <alignment vertical="center" shrinkToFit="1"/>
      <protection hidden="1"/>
    </xf>
    <xf numFmtId="190" fontId="125" fillId="31" borderId="10" xfId="35" applyNumberFormat="1" applyFont="1" applyFill="1" applyBorder="1" applyAlignment="1" applyProtection="1">
      <alignment horizontal="right"/>
      <protection hidden="1"/>
    </xf>
    <xf numFmtId="191" fontId="125" fillId="31" borderId="10" xfId="35" applyNumberFormat="1" applyFont="1" applyFill="1" applyBorder="1" applyAlignment="1" applyProtection="1">
      <protection hidden="1"/>
    </xf>
    <xf numFmtId="0" fontId="125" fillId="31" borderId="10" xfId="0" applyNumberFormat="1" applyFont="1" applyFill="1" applyBorder="1" applyAlignment="1" applyProtection="1">
      <alignment horizontal="left" vertical="center" shrinkToFit="1"/>
      <protection hidden="1"/>
    </xf>
    <xf numFmtId="197" fontId="125" fillId="31" borderId="10" xfId="35" applyNumberFormat="1" applyFont="1" applyFill="1" applyBorder="1" applyAlignment="1" applyProtection="1">
      <alignment horizontal="center" vertical="center"/>
      <protection hidden="1"/>
    </xf>
    <xf numFmtId="197" fontId="125" fillId="31" borderId="27" xfId="35" applyNumberFormat="1" applyFont="1" applyFill="1" applyBorder="1" applyAlignment="1" applyProtection="1">
      <alignment horizontal="center" vertical="center"/>
      <protection hidden="1"/>
    </xf>
    <xf numFmtId="49" fontId="125" fillId="31" borderId="10" xfId="0" applyNumberFormat="1" applyFont="1" applyFill="1" applyBorder="1" applyAlignment="1" applyProtection="1">
      <alignment horizontal="left" vertical="center"/>
      <protection hidden="1"/>
    </xf>
    <xf numFmtId="2" fontId="125" fillId="31" borderId="10" xfId="35" applyNumberFormat="1" applyFont="1" applyFill="1" applyBorder="1" applyAlignment="1" applyProtection="1">
      <alignment horizontal="center" vertical="center"/>
      <protection hidden="1"/>
    </xf>
    <xf numFmtId="2" fontId="125" fillId="31" borderId="27" xfId="35" applyNumberFormat="1" applyFont="1" applyFill="1" applyBorder="1" applyAlignment="1" applyProtection="1">
      <alignment horizontal="center" vertical="center"/>
      <protection hidden="1"/>
    </xf>
    <xf numFmtId="0" fontId="125" fillId="27" borderId="10" xfId="0" applyNumberFormat="1" applyFont="1" applyFill="1" applyBorder="1" applyAlignment="1" applyProtection="1">
      <alignment vertical="center" shrinkToFit="1"/>
      <protection hidden="1"/>
    </xf>
    <xf numFmtId="190" fontId="125" fillId="27" borderId="10" xfId="35" applyNumberFormat="1" applyFont="1" applyFill="1" applyBorder="1" applyAlignment="1" applyProtection="1">
      <alignment horizontal="right"/>
      <protection hidden="1"/>
    </xf>
    <xf numFmtId="191" fontId="125" fillId="27" borderId="10" xfId="35" applyNumberFormat="1" applyFont="1" applyFill="1" applyBorder="1" applyAlignment="1" applyProtection="1">
      <protection hidden="1"/>
    </xf>
    <xf numFmtId="190" fontId="33" fillId="27" borderId="10" xfId="0" applyNumberFormat="1" applyFont="1" applyFill="1" applyBorder="1" applyProtection="1">
      <alignment vertical="center"/>
      <protection hidden="1"/>
    </xf>
    <xf numFmtId="0" fontId="125" fillId="27" borderId="10" xfId="0" applyNumberFormat="1" applyFont="1" applyFill="1" applyBorder="1" applyAlignment="1" applyProtection="1">
      <alignment horizontal="left" vertical="center"/>
      <protection hidden="1"/>
    </xf>
    <xf numFmtId="0" fontId="125" fillId="27" borderId="10" xfId="0" applyNumberFormat="1" applyFont="1" applyFill="1" applyBorder="1" applyAlignment="1" applyProtection="1">
      <alignment horizontal="left" vertical="center" shrinkToFit="1"/>
      <protection hidden="1"/>
    </xf>
    <xf numFmtId="197" fontId="125" fillId="27" borderId="10" xfId="35" applyNumberFormat="1" applyFont="1" applyFill="1" applyBorder="1" applyAlignment="1" applyProtection="1">
      <alignment horizontal="center"/>
      <protection hidden="1"/>
    </xf>
    <xf numFmtId="197" fontId="125" fillId="27" borderId="26" xfId="35" applyNumberFormat="1" applyFont="1" applyFill="1" applyBorder="1" applyAlignment="1" applyProtection="1">
      <alignment horizontal="center" vertical="center"/>
      <protection hidden="1"/>
    </xf>
    <xf numFmtId="197" fontId="125" fillId="27" borderId="27" xfId="35" applyNumberFormat="1" applyFont="1" applyFill="1" applyBorder="1" applyAlignment="1" applyProtection="1">
      <alignment horizontal="center"/>
      <protection hidden="1"/>
    </xf>
    <xf numFmtId="49" fontId="125" fillId="27" borderId="10" xfId="0" applyNumberFormat="1" applyFont="1" applyFill="1" applyBorder="1" applyAlignment="1" applyProtection="1">
      <alignment horizontal="left" vertical="center"/>
      <protection hidden="1"/>
    </xf>
    <xf numFmtId="2" fontId="125" fillId="27" borderId="10" xfId="35" applyNumberFormat="1" applyFont="1" applyFill="1" applyBorder="1" applyAlignment="1" applyProtection="1">
      <alignment horizontal="center"/>
      <protection hidden="1"/>
    </xf>
    <xf numFmtId="2" fontId="125" fillId="27" borderId="27" xfId="35" applyNumberFormat="1" applyFont="1" applyFill="1" applyBorder="1" applyAlignment="1" applyProtection="1">
      <alignment horizontal="center"/>
      <protection hidden="1"/>
    </xf>
    <xf numFmtId="2" fontId="125" fillId="27" borderId="26" xfId="35" applyNumberFormat="1" applyFont="1" applyFill="1" applyBorder="1" applyAlignment="1" applyProtection="1">
      <alignment horizontal="center" vertical="center"/>
      <protection hidden="1"/>
    </xf>
    <xf numFmtId="0" fontId="33" fillId="27" borderId="10" xfId="0" applyFont="1" applyFill="1" applyBorder="1" applyAlignment="1" applyProtection="1">
      <alignment vertical="center" shrinkToFit="1"/>
      <protection hidden="1"/>
    </xf>
    <xf numFmtId="190" fontId="33" fillId="27" borderId="10" xfId="35" applyNumberFormat="1" applyFont="1" applyFill="1" applyBorder="1" applyAlignment="1" applyProtection="1">
      <alignment horizontal="right"/>
      <protection hidden="1"/>
    </xf>
    <xf numFmtId="191" fontId="33" fillId="27" borderId="10" xfId="35" applyNumberFormat="1" applyFont="1" applyFill="1" applyBorder="1" applyAlignment="1" applyProtection="1">
      <protection hidden="1"/>
    </xf>
    <xf numFmtId="0" fontId="33" fillId="27" borderId="10" xfId="0" applyNumberFormat="1" applyFont="1" applyFill="1" applyBorder="1" applyAlignment="1" applyProtection="1">
      <alignment horizontal="left" vertical="center"/>
      <protection hidden="1"/>
    </xf>
    <xf numFmtId="0" fontId="33" fillId="27" borderId="10" xfId="0" applyNumberFormat="1" applyFont="1" applyFill="1" applyBorder="1" applyAlignment="1" applyProtection="1">
      <alignment horizontal="left" vertical="center" shrinkToFit="1"/>
      <protection hidden="1"/>
    </xf>
    <xf numFmtId="197" fontId="33" fillId="27" borderId="10" xfId="35" applyNumberFormat="1" applyFont="1" applyFill="1" applyBorder="1" applyAlignment="1" applyProtection="1">
      <alignment horizontal="center" vertical="center"/>
      <protection hidden="1"/>
    </xf>
    <xf numFmtId="197" fontId="33" fillId="27" borderId="27" xfId="35" applyNumberFormat="1" applyFont="1" applyFill="1" applyBorder="1" applyAlignment="1" applyProtection="1">
      <alignment horizontal="center" vertical="center"/>
      <protection hidden="1"/>
    </xf>
    <xf numFmtId="49" fontId="33" fillId="27" borderId="10" xfId="0" applyNumberFormat="1" applyFont="1" applyFill="1" applyBorder="1" applyAlignment="1" applyProtection="1">
      <alignment horizontal="left" vertical="center"/>
      <protection hidden="1"/>
    </xf>
    <xf numFmtId="0" fontId="33" fillId="27" borderId="10" xfId="0" applyFont="1" applyFill="1" applyBorder="1" applyAlignment="1" applyProtection="1">
      <alignment horizontal="left" vertical="center" shrinkToFit="1"/>
      <protection hidden="1"/>
    </xf>
    <xf numFmtId="197" fontId="33" fillId="45" borderId="10" xfId="35" applyNumberFormat="1" applyFont="1" applyFill="1" applyBorder="1" applyAlignment="1" applyProtection="1">
      <alignment horizontal="center" vertical="center"/>
      <protection hidden="1"/>
    </xf>
    <xf numFmtId="2" fontId="33" fillId="27" borderId="10" xfId="35" applyNumberFormat="1" applyFont="1" applyFill="1" applyBorder="1" applyAlignment="1" applyProtection="1">
      <alignment horizontal="center" vertical="center"/>
      <protection hidden="1"/>
    </xf>
    <xf numFmtId="2" fontId="33" fillId="27" borderId="27" xfId="35" applyNumberFormat="1" applyFont="1" applyFill="1" applyBorder="1" applyAlignment="1" applyProtection="1">
      <alignment horizontal="center" vertical="center"/>
      <protection hidden="1"/>
    </xf>
    <xf numFmtId="178" fontId="33" fillId="27" borderId="26" xfId="0" applyNumberFormat="1" applyFont="1" applyFill="1" applyBorder="1" applyAlignment="1" applyProtection="1">
      <alignment horizontal="center" vertical="center"/>
      <protection hidden="1"/>
    </xf>
    <xf numFmtId="2" fontId="33" fillId="45" borderId="10" xfId="35" applyNumberFormat="1" applyFont="1" applyFill="1" applyBorder="1" applyAlignment="1" applyProtection="1">
      <alignment horizontal="center" vertical="center"/>
      <protection hidden="1"/>
    </xf>
    <xf numFmtId="197" fontId="33" fillId="27" borderId="26" xfId="35" applyNumberFormat="1" applyFont="1" applyFill="1" applyBorder="1" applyAlignment="1" applyProtection="1">
      <alignment horizontal="center" vertical="center"/>
      <protection hidden="1"/>
    </xf>
    <xf numFmtId="197" fontId="33" fillId="42" borderId="10" xfId="35" applyNumberFormat="1" applyFont="1" applyFill="1" applyBorder="1" applyAlignment="1" applyProtection="1">
      <alignment horizontal="center" vertical="center"/>
      <protection hidden="1"/>
    </xf>
    <xf numFmtId="2" fontId="33" fillId="46" borderId="10" xfId="35" applyNumberFormat="1" applyFont="1" applyFill="1" applyBorder="1" applyAlignment="1" applyProtection="1">
      <alignment horizontal="center" vertical="center"/>
      <protection hidden="1"/>
    </xf>
    <xf numFmtId="2" fontId="33" fillId="27" borderId="26" xfId="35" applyNumberFormat="1" applyFont="1" applyFill="1" applyBorder="1" applyAlignment="1" applyProtection="1">
      <alignment horizontal="center" vertical="center"/>
      <protection hidden="1"/>
    </xf>
    <xf numFmtId="0" fontId="125" fillId="27" borderId="10" xfId="0" applyFont="1" applyFill="1" applyBorder="1" applyAlignment="1" applyProtection="1">
      <alignment vertical="center" shrinkToFit="1"/>
      <protection hidden="1"/>
    </xf>
    <xf numFmtId="197" fontId="125" fillId="27" borderId="26" xfId="0" applyNumberFormat="1" applyFont="1" applyFill="1" applyBorder="1" applyAlignment="1" applyProtection="1">
      <alignment horizontal="center" vertical="center"/>
      <protection hidden="1"/>
    </xf>
    <xf numFmtId="0" fontId="125" fillId="27" borderId="10" xfId="0" applyFont="1" applyFill="1" applyBorder="1" applyAlignment="1" applyProtection="1">
      <alignment horizontal="left" vertical="center" shrinkToFit="1"/>
      <protection hidden="1"/>
    </xf>
    <xf numFmtId="178" fontId="125" fillId="27" borderId="26" xfId="0" applyNumberFormat="1" applyFont="1" applyFill="1" applyBorder="1" applyAlignment="1" applyProtection="1">
      <alignment horizontal="center" vertical="center"/>
      <protection hidden="1"/>
    </xf>
    <xf numFmtId="0" fontId="33" fillId="27" borderId="10" xfId="0" applyNumberFormat="1" applyFont="1" applyFill="1" applyBorder="1" applyAlignment="1" applyProtection="1">
      <alignment vertical="center" shrinkToFit="1"/>
      <protection hidden="1"/>
    </xf>
    <xf numFmtId="197" fontId="33" fillId="27" borderId="26" xfId="0" applyNumberFormat="1" applyFont="1" applyFill="1" applyBorder="1" applyAlignment="1" applyProtection="1">
      <alignment horizontal="center" vertical="center"/>
      <protection hidden="1"/>
    </xf>
    <xf numFmtId="197" fontId="33" fillId="27" borderId="10" xfId="0" applyNumberFormat="1" applyFont="1" applyFill="1" applyBorder="1" applyAlignment="1" applyProtection="1">
      <alignment horizontal="center"/>
      <protection hidden="1"/>
    </xf>
    <xf numFmtId="197" fontId="33" fillId="42" borderId="26" xfId="0" applyNumberFormat="1" applyFont="1" applyFill="1" applyBorder="1" applyAlignment="1" applyProtection="1">
      <alignment horizontal="center" vertical="center"/>
      <protection hidden="1"/>
    </xf>
    <xf numFmtId="2" fontId="33" fillId="27" borderId="10" xfId="0" applyNumberFormat="1" applyFont="1" applyFill="1" applyBorder="1" applyAlignment="1" applyProtection="1">
      <alignment horizontal="center"/>
      <protection hidden="1"/>
    </xf>
    <xf numFmtId="2" fontId="33" fillId="25" borderId="10" xfId="35" applyNumberFormat="1" applyFont="1" applyFill="1" applyBorder="1" applyAlignment="1" applyProtection="1">
      <alignment horizontal="center" vertical="center"/>
      <protection hidden="1"/>
    </xf>
    <xf numFmtId="0" fontId="33" fillId="42" borderId="10" xfId="0" applyFont="1" applyFill="1" applyBorder="1" applyAlignment="1" applyProtection="1">
      <alignment vertical="center" shrinkToFit="1"/>
      <protection hidden="1"/>
    </xf>
    <xf numFmtId="190" fontId="33" fillId="42" borderId="10" xfId="0" applyNumberFormat="1" applyFont="1" applyFill="1" applyBorder="1" applyProtection="1">
      <alignment vertical="center"/>
      <protection hidden="1"/>
    </xf>
    <xf numFmtId="191" fontId="33" fillId="42" borderId="10" xfId="35" applyNumberFormat="1" applyFont="1" applyFill="1" applyBorder="1" applyAlignment="1" applyProtection="1">
      <protection hidden="1"/>
    </xf>
    <xf numFmtId="0" fontId="33" fillId="42" borderId="10" xfId="0" applyNumberFormat="1" applyFont="1" applyFill="1" applyBorder="1" applyAlignment="1" applyProtection="1">
      <alignment horizontal="left" vertical="center"/>
      <protection hidden="1"/>
    </xf>
    <xf numFmtId="0" fontId="33" fillId="42" borderId="10" xfId="0" applyNumberFormat="1" applyFont="1" applyFill="1" applyBorder="1" applyAlignment="1" applyProtection="1">
      <alignment horizontal="left" vertical="center" shrinkToFit="1"/>
      <protection hidden="1"/>
    </xf>
    <xf numFmtId="197" fontId="33" fillId="42" borderId="26" xfId="35" applyNumberFormat="1" applyFont="1" applyFill="1" applyBorder="1" applyAlignment="1" applyProtection="1">
      <alignment horizontal="center" vertical="center"/>
      <protection hidden="1"/>
    </xf>
    <xf numFmtId="197" fontId="33" fillId="42" borderId="27" xfId="35" applyNumberFormat="1" applyFont="1" applyFill="1" applyBorder="1" applyAlignment="1" applyProtection="1">
      <alignment horizontal="center" vertical="center"/>
      <protection hidden="1"/>
    </xf>
    <xf numFmtId="49" fontId="33" fillId="42" borderId="10" xfId="0" applyNumberFormat="1" applyFont="1" applyFill="1" applyBorder="1" applyAlignment="1" applyProtection="1">
      <alignment horizontal="left" vertical="center"/>
      <protection hidden="1"/>
    </xf>
    <xf numFmtId="0" fontId="33" fillId="42" borderId="10" xfId="0" applyFont="1" applyFill="1" applyBorder="1" applyAlignment="1" applyProtection="1">
      <alignment horizontal="left" vertical="center" shrinkToFit="1"/>
      <protection hidden="1"/>
    </xf>
    <xf numFmtId="2" fontId="33" fillId="42" borderId="10" xfId="35" applyNumberFormat="1" applyFont="1" applyFill="1" applyBorder="1" applyAlignment="1" applyProtection="1">
      <alignment horizontal="center" vertical="center"/>
      <protection hidden="1"/>
    </xf>
    <xf numFmtId="2" fontId="33" fillId="42" borderId="26" xfId="35" applyNumberFormat="1" applyFont="1" applyFill="1" applyBorder="1" applyAlignment="1" applyProtection="1">
      <alignment horizontal="center" vertical="center"/>
      <protection hidden="1"/>
    </xf>
    <xf numFmtId="2" fontId="33" fillId="42" borderId="27" xfId="35" applyNumberFormat="1" applyFont="1" applyFill="1" applyBorder="1" applyAlignment="1" applyProtection="1">
      <alignment horizontal="center" vertical="center"/>
      <protection hidden="1"/>
    </xf>
    <xf numFmtId="178" fontId="33" fillId="42" borderId="10" xfId="35" applyNumberFormat="1" applyFont="1" applyFill="1" applyBorder="1" applyAlignment="1" applyProtection="1">
      <alignment horizontal="center" vertical="center"/>
      <protection hidden="1"/>
    </xf>
    <xf numFmtId="178" fontId="33" fillId="42" borderId="26" xfId="35" applyNumberFormat="1" applyFont="1" applyFill="1" applyBorder="1" applyAlignment="1" applyProtection="1">
      <alignment horizontal="center" vertical="center"/>
      <protection hidden="1"/>
    </xf>
    <xf numFmtId="178" fontId="33" fillId="42" borderId="27" xfId="35" applyNumberFormat="1" applyFont="1" applyFill="1" applyBorder="1" applyAlignment="1" applyProtection="1">
      <alignment horizontal="center" vertical="center"/>
      <protection hidden="1"/>
    </xf>
    <xf numFmtId="178" fontId="125" fillId="27" borderId="10" xfId="35" applyNumberFormat="1" applyFont="1" applyFill="1" applyBorder="1" applyAlignment="1" applyProtection="1">
      <alignment horizontal="center"/>
      <protection hidden="1"/>
    </xf>
    <xf numFmtId="178" fontId="125" fillId="27" borderId="27" xfId="35" applyNumberFormat="1" applyFont="1" applyFill="1" applyBorder="1" applyAlignment="1" applyProtection="1">
      <alignment horizontal="center"/>
      <protection hidden="1"/>
    </xf>
    <xf numFmtId="178" fontId="33" fillId="27" borderId="10" xfId="35" applyNumberFormat="1" applyFont="1" applyFill="1" applyBorder="1" applyAlignment="1" applyProtection="1">
      <alignment horizontal="center" vertical="center"/>
      <protection hidden="1"/>
    </xf>
    <xf numFmtId="178" fontId="33" fillId="27" borderId="26" xfId="35" applyNumberFormat="1" applyFont="1" applyFill="1" applyBorder="1" applyAlignment="1" applyProtection="1">
      <alignment horizontal="center" vertical="center"/>
      <protection hidden="1"/>
    </xf>
    <xf numFmtId="178" fontId="33" fillId="27" borderId="27" xfId="35" applyNumberFormat="1" applyFont="1" applyFill="1" applyBorder="1" applyAlignment="1" applyProtection="1">
      <alignment horizontal="center" vertical="center"/>
      <protection hidden="1"/>
    </xf>
    <xf numFmtId="178" fontId="155" fillId="27" borderId="10" xfId="35" applyNumberFormat="1" applyFont="1" applyFill="1" applyBorder="1" applyAlignment="1" applyProtection="1">
      <alignment horizontal="center" vertical="center"/>
      <protection hidden="1"/>
    </xf>
    <xf numFmtId="178" fontId="155" fillId="42" borderId="10" xfId="35" applyNumberFormat="1" applyFont="1" applyFill="1" applyBorder="1" applyAlignment="1" applyProtection="1">
      <alignment horizontal="center" vertical="center"/>
      <protection hidden="1"/>
    </xf>
    <xf numFmtId="197" fontId="125" fillId="27" borderId="10" xfId="35" applyNumberFormat="1" applyFont="1" applyFill="1" applyBorder="1" applyAlignment="1" applyProtection="1">
      <alignment horizontal="center" vertical="center"/>
      <protection hidden="1"/>
    </xf>
    <xf numFmtId="197" fontId="125" fillId="27" borderId="27" xfId="35" applyNumberFormat="1" applyFont="1" applyFill="1" applyBorder="1" applyAlignment="1" applyProtection="1">
      <alignment horizontal="center" vertical="center"/>
      <protection hidden="1"/>
    </xf>
    <xf numFmtId="2" fontId="125" fillId="27" borderId="10" xfId="35" applyNumberFormat="1" applyFont="1" applyFill="1" applyBorder="1" applyAlignment="1" applyProtection="1">
      <alignment horizontal="center" vertical="center"/>
      <protection hidden="1"/>
    </xf>
    <xf numFmtId="2" fontId="125" fillId="27" borderId="27" xfId="35" applyNumberFormat="1" applyFont="1" applyFill="1" applyBorder="1" applyAlignment="1" applyProtection="1">
      <alignment horizontal="center" vertical="center"/>
      <protection hidden="1"/>
    </xf>
    <xf numFmtId="179" fontId="125" fillId="27" borderId="26" xfId="0" applyNumberFormat="1" applyFont="1" applyFill="1" applyBorder="1" applyAlignment="1" applyProtection="1">
      <alignment horizontal="center" vertical="center"/>
      <protection hidden="1"/>
    </xf>
    <xf numFmtId="0" fontId="6" fillId="26" borderId="0" xfId="0" applyFont="1" applyFill="1">
      <alignment vertical="center"/>
    </xf>
    <xf numFmtId="179" fontId="33" fillId="27" borderId="26" xfId="0" applyNumberFormat="1" applyFont="1" applyFill="1" applyBorder="1" applyAlignment="1" applyProtection="1">
      <alignment horizontal="center" vertical="center"/>
      <protection hidden="1"/>
    </xf>
    <xf numFmtId="197" fontId="125" fillId="27" borderId="26" xfId="35" applyNumberFormat="1" applyFont="1" applyFill="1" applyBorder="1" applyAlignment="1" applyProtection="1">
      <alignment horizontal="center"/>
      <protection hidden="1"/>
    </xf>
    <xf numFmtId="2" fontId="125" fillId="27" borderId="26" xfId="35" applyNumberFormat="1" applyFont="1" applyFill="1" applyBorder="1" applyAlignment="1" applyProtection="1">
      <alignment horizontal="center"/>
      <protection hidden="1"/>
    </xf>
    <xf numFmtId="0" fontId="33" fillId="27" borderId="53" xfId="0" applyFont="1" applyFill="1" applyBorder="1" applyAlignment="1" applyProtection="1">
      <alignment vertical="center" shrinkToFit="1"/>
      <protection hidden="1"/>
    </xf>
    <xf numFmtId="0" fontId="33" fillId="42" borderId="53" xfId="0" applyNumberFormat="1" applyFont="1" applyFill="1" applyBorder="1" applyAlignment="1" applyProtection="1">
      <alignment horizontal="left" vertical="center"/>
      <protection hidden="1"/>
    </xf>
    <xf numFmtId="191" fontId="125" fillId="27" borderId="10" xfId="0" applyNumberFormat="1" applyFont="1" applyFill="1" applyBorder="1">
      <alignment vertical="center"/>
    </xf>
    <xf numFmtId="2" fontId="33" fillId="27" borderId="10" xfId="0" applyNumberFormat="1" applyFont="1" applyFill="1" applyBorder="1" applyAlignment="1" applyProtection="1">
      <alignment horizontal="left" vertical="center" shrinkToFit="1"/>
      <protection hidden="1"/>
    </xf>
    <xf numFmtId="197" fontId="33" fillId="27" borderId="10" xfId="35" applyNumberFormat="1" applyFont="1" applyFill="1" applyBorder="1" applyAlignment="1" applyProtection="1">
      <alignment horizontal="center"/>
      <protection hidden="1"/>
    </xf>
    <xf numFmtId="197" fontId="33" fillId="27" borderId="27" xfId="35" applyNumberFormat="1" applyFont="1" applyFill="1" applyBorder="1" applyAlignment="1" applyProtection="1">
      <alignment horizontal="center"/>
      <protection hidden="1"/>
    </xf>
    <xf numFmtId="2" fontId="33" fillId="27" borderId="10" xfId="35" applyNumberFormat="1" applyFont="1" applyFill="1" applyBorder="1" applyAlignment="1" applyProtection="1">
      <alignment horizontal="center"/>
      <protection hidden="1"/>
    </xf>
    <xf numFmtId="2" fontId="33" fillId="27" borderId="27" xfId="35" applyNumberFormat="1" applyFont="1" applyFill="1" applyBorder="1" applyAlignment="1" applyProtection="1">
      <alignment horizontal="center"/>
      <protection hidden="1"/>
    </xf>
    <xf numFmtId="0" fontId="23" fillId="31" borderId="10" xfId="0" applyNumberFormat="1" applyFont="1" applyFill="1" applyBorder="1" applyAlignment="1" applyProtection="1">
      <alignment horizontal="center" vertical="center"/>
      <protection hidden="1"/>
    </xf>
    <xf numFmtId="0" fontId="23" fillId="35" borderId="10" xfId="0" applyNumberFormat="1" applyFont="1" applyFill="1" applyBorder="1" applyAlignment="1" applyProtection="1">
      <alignment horizontal="center" vertical="center" shrinkToFit="1"/>
      <protection hidden="1"/>
    </xf>
    <xf numFmtId="197" fontId="125" fillId="35" borderId="10" xfId="35" applyNumberFormat="1" applyFont="1" applyFill="1" applyBorder="1" applyAlignment="1" applyProtection="1">
      <alignment horizontal="center" vertical="top"/>
      <protection hidden="1"/>
    </xf>
    <xf numFmtId="197" fontId="125" fillId="35" borderId="26" xfId="35" applyNumberFormat="1" applyFont="1" applyFill="1" applyBorder="1" applyAlignment="1" applyProtection="1">
      <alignment horizontal="center" vertical="top"/>
      <protection hidden="1"/>
    </xf>
    <xf numFmtId="197" fontId="125" fillId="35" borderId="27" xfId="0" applyNumberFormat="1" applyFont="1" applyFill="1" applyBorder="1" applyAlignment="1" applyProtection="1">
      <alignment horizontal="center" vertical="top"/>
      <protection hidden="1"/>
    </xf>
    <xf numFmtId="197" fontId="125" fillId="35" borderId="10" xfId="0" applyNumberFormat="1" applyFont="1" applyFill="1" applyBorder="1" applyAlignment="1" applyProtection="1">
      <alignment horizontal="center" vertical="top"/>
      <protection hidden="1"/>
    </xf>
    <xf numFmtId="190" fontId="125" fillId="31" borderId="10" xfId="35" applyNumberFormat="1" applyFont="1" applyFill="1" applyBorder="1" applyAlignment="1" applyProtection="1">
      <alignment horizontal="right" vertical="center"/>
      <protection hidden="1"/>
    </xf>
    <xf numFmtId="0" fontId="125" fillId="27" borderId="10" xfId="0" quotePrefix="1" applyNumberFormat="1" applyFont="1" applyFill="1" applyBorder="1" applyAlignment="1" applyProtection="1">
      <alignment horizontal="left" vertical="center"/>
      <protection hidden="1"/>
    </xf>
    <xf numFmtId="191" fontId="33" fillId="27" borderId="10" xfId="0" applyNumberFormat="1" applyFont="1" applyFill="1" applyBorder="1">
      <alignment vertical="center"/>
    </xf>
    <xf numFmtId="0" fontId="33" fillId="27" borderId="10" xfId="0" quotePrefix="1" applyNumberFormat="1" applyFont="1" applyFill="1" applyBorder="1" applyAlignment="1" applyProtection="1">
      <alignment horizontal="left" vertical="center"/>
      <protection hidden="1"/>
    </xf>
    <xf numFmtId="49" fontId="33" fillId="27" borderId="10" xfId="0" quotePrefix="1" applyNumberFormat="1" applyFont="1" applyFill="1" applyBorder="1" applyAlignment="1" applyProtection="1">
      <alignment horizontal="left" vertical="center"/>
      <protection hidden="1"/>
    </xf>
    <xf numFmtId="0" fontId="6" fillId="0" borderId="0" xfId="0" applyFont="1" applyFill="1" applyBorder="1">
      <alignment vertical="center"/>
    </xf>
    <xf numFmtId="0" fontId="125" fillId="31" borderId="10" xfId="0" applyNumberFormat="1" applyFont="1" applyFill="1" applyBorder="1" applyAlignment="1" applyProtection="1">
      <alignment vertical="center"/>
      <protection hidden="1"/>
    </xf>
    <xf numFmtId="197" fontId="125" fillId="31" borderId="26" xfId="35" applyNumberFormat="1" applyFont="1" applyFill="1" applyBorder="1" applyAlignment="1" applyProtection="1">
      <alignment horizontal="center" vertical="center"/>
      <protection hidden="1"/>
    </xf>
    <xf numFmtId="197" fontId="125" fillId="31" borderId="27" xfId="0" applyNumberFormat="1" applyFont="1" applyFill="1" applyBorder="1" applyAlignment="1" applyProtection="1">
      <alignment horizontal="center"/>
      <protection hidden="1"/>
    </xf>
    <xf numFmtId="197" fontId="125" fillId="31" borderId="10" xfId="0" applyNumberFormat="1" applyFont="1" applyFill="1" applyBorder="1" applyAlignment="1" applyProtection="1">
      <alignment horizontal="center"/>
      <protection hidden="1"/>
    </xf>
    <xf numFmtId="49" fontId="125" fillId="31" borderId="10" xfId="0" applyNumberFormat="1" applyFont="1" applyFill="1" applyBorder="1" applyAlignment="1" applyProtection="1">
      <alignment vertical="center"/>
      <protection hidden="1"/>
    </xf>
    <xf numFmtId="2" fontId="125" fillId="31" borderId="26" xfId="35" applyNumberFormat="1" applyFont="1" applyFill="1" applyBorder="1" applyAlignment="1" applyProtection="1">
      <alignment horizontal="center" vertical="center"/>
      <protection hidden="1"/>
    </xf>
    <xf numFmtId="2" fontId="125" fillId="31" borderId="27" xfId="0" applyNumberFormat="1" applyFont="1" applyFill="1" applyBorder="1" applyAlignment="1" applyProtection="1">
      <alignment horizontal="center"/>
      <protection hidden="1"/>
    </xf>
    <xf numFmtId="2" fontId="125" fillId="31" borderId="10" xfId="0" applyNumberFormat="1" applyFont="1" applyFill="1" applyBorder="1" applyAlignment="1" applyProtection="1">
      <alignment horizontal="center"/>
      <protection hidden="1"/>
    </xf>
    <xf numFmtId="197" fontId="125" fillId="27" borderId="27" xfId="0" applyNumberFormat="1" applyFont="1" applyFill="1" applyBorder="1" applyAlignment="1" applyProtection="1">
      <alignment horizontal="center"/>
      <protection hidden="1"/>
    </xf>
    <xf numFmtId="197" fontId="125" fillId="27" borderId="10" xfId="0" applyNumberFormat="1" applyFont="1" applyFill="1" applyBorder="1" applyAlignment="1" applyProtection="1">
      <alignment horizontal="center"/>
      <protection hidden="1"/>
    </xf>
    <xf numFmtId="2" fontId="125" fillId="27" borderId="27" xfId="0" applyNumberFormat="1" applyFont="1" applyFill="1" applyBorder="1" applyAlignment="1" applyProtection="1">
      <alignment horizontal="center"/>
      <protection hidden="1"/>
    </xf>
    <xf numFmtId="2" fontId="125" fillId="27" borderId="10" xfId="0" applyNumberFormat="1" applyFont="1" applyFill="1" applyBorder="1" applyAlignment="1" applyProtection="1">
      <alignment horizontal="center"/>
      <protection hidden="1"/>
    </xf>
    <xf numFmtId="197" fontId="33" fillId="27" borderId="27" xfId="0" applyNumberFormat="1" applyFont="1" applyFill="1" applyBorder="1" applyAlignment="1" applyProtection="1">
      <alignment horizontal="center"/>
      <protection hidden="1"/>
    </xf>
    <xf numFmtId="2" fontId="33" fillId="27" borderId="27" xfId="0" applyNumberFormat="1" applyFont="1" applyFill="1" applyBorder="1" applyAlignment="1" applyProtection="1">
      <alignment horizontal="center"/>
      <protection hidden="1"/>
    </xf>
    <xf numFmtId="210" fontId="125" fillId="27" borderId="27" xfId="0" applyNumberFormat="1" applyFont="1" applyFill="1" applyBorder="1" applyAlignment="1" applyProtection="1">
      <alignment horizontal="center"/>
      <protection hidden="1"/>
    </xf>
    <xf numFmtId="49" fontId="125" fillId="27" borderId="10" xfId="0" applyNumberFormat="1" applyFont="1" applyFill="1" applyBorder="1" applyAlignment="1" applyProtection="1">
      <alignment vertical="center"/>
      <protection hidden="1"/>
    </xf>
    <xf numFmtId="49" fontId="33" fillId="27" borderId="10" xfId="0" applyNumberFormat="1" applyFont="1" applyFill="1" applyBorder="1" applyAlignment="1" applyProtection="1">
      <alignment vertical="center"/>
      <protection hidden="1"/>
    </xf>
    <xf numFmtId="0" fontId="33" fillId="27" borderId="10" xfId="0" applyNumberFormat="1" applyFont="1" applyFill="1" applyBorder="1" applyAlignment="1" applyProtection="1">
      <alignment vertical="center"/>
      <protection hidden="1"/>
    </xf>
    <xf numFmtId="0" fontId="33"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6" fillId="0" borderId="0" xfId="46" applyFont="1" applyFill="1" applyProtection="1">
      <protection hidden="1"/>
    </xf>
    <xf numFmtId="0" fontId="164" fillId="0" borderId="0" xfId="0" applyFont="1">
      <alignment vertical="center"/>
    </xf>
    <xf numFmtId="0" fontId="164" fillId="0" borderId="0" xfId="0" applyFont="1" applyFill="1">
      <alignment vertical="center"/>
    </xf>
    <xf numFmtId="0" fontId="164" fillId="0" borderId="0" xfId="0" applyFont="1" applyBorder="1" applyAlignment="1">
      <alignment horizontal="left" vertical="center" wrapText="1"/>
    </xf>
    <xf numFmtId="0" fontId="164" fillId="0" borderId="0" xfId="0" applyFont="1" applyAlignment="1" applyProtection="1">
      <alignment vertical="center"/>
      <protection hidden="1"/>
    </xf>
    <xf numFmtId="0" fontId="164" fillId="27" borderId="16" xfId="0" applyFont="1" applyFill="1" applyBorder="1" applyAlignment="1" applyProtection="1">
      <alignment horizontal="center" vertical="center" wrapText="1"/>
      <protection hidden="1"/>
    </xf>
    <xf numFmtId="0" fontId="164" fillId="27" borderId="13" xfId="0" applyFont="1" applyFill="1" applyBorder="1" applyAlignment="1" applyProtection="1">
      <alignment horizontal="left" vertical="top" wrapText="1"/>
      <protection hidden="1"/>
    </xf>
    <xf numFmtId="0" fontId="164" fillId="27" borderId="13" xfId="0" applyFont="1" applyFill="1" applyBorder="1" applyAlignment="1" applyProtection="1">
      <alignment horizontal="left" vertical="center" wrapText="1"/>
      <protection hidden="1"/>
    </xf>
    <xf numFmtId="0" fontId="164" fillId="27" borderId="177" xfId="0" applyFont="1" applyFill="1" applyBorder="1" applyAlignment="1" applyProtection="1">
      <alignment horizontal="center" vertical="center" wrapText="1"/>
      <protection hidden="1"/>
    </xf>
    <xf numFmtId="0" fontId="164" fillId="27" borderId="11" xfId="0" applyFont="1" applyFill="1" applyBorder="1" applyAlignment="1" applyProtection="1">
      <alignment horizontal="center" vertical="center" wrapText="1"/>
      <protection hidden="1"/>
    </xf>
    <xf numFmtId="0" fontId="164" fillId="27" borderId="167" xfId="0" applyFont="1" applyFill="1" applyBorder="1" applyAlignment="1" applyProtection="1">
      <alignment horizontal="center" vertical="center" wrapText="1"/>
      <protection hidden="1"/>
    </xf>
    <xf numFmtId="0" fontId="164" fillId="27" borderId="171" xfId="0" applyFont="1" applyFill="1" applyBorder="1" applyAlignment="1" applyProtection="1">
      <alignment horizontal="left" vertical="top" wrapText="1"/>
      <protection hidden="1"/>
    </xf>
    <xf numFmtId="0" fontId="164" fillId="27" borderId="171" xfId="0" applyFont="1" applyFill="1" applyBorder="1" applyAlignment="1" applyProtection="1">
      <alignment horizontal="left" vertical="center" wrapText="1"/>
      <protection hidden="1"/>
    </xf>
    <xf numFmtId="0" fontId="164" fillId="0" borderId="0" xfId="0" applyFont="1" applyAlignment="1">
      <alignment vertical="top"/>
    </xf>
    <xf numFmtId="0" fontId="164" fillId="27" borderId="50" xfId="0" applyFont="1" applyFill="1" applyBorder="1">
      <alignment vertical="center"/>
    </xf>
    <xf numFmtId="0" fontId="164" fillId="27" borderId="165" xfId="0" applyFont="1" applyFill="1" applyBorder="1" applyAlignment="1">
      <alignment vertical="center"/>
    </xf>
    <xf numFmtId="0" fontId="164" fillId="27" borderId="87" xfId="0" applyFont="1" applyFill="1" applyBorder="1" applyAlignment="1">
      <alignment vertical="center"/>
    </xf>
    <xf numFmtId="0" fontId="164" fillId="27" borderId="165" xfId="0" applyFont="1" applyFill="1" applyBorder="1" applyAlignment="1">
      <alignment vertical="top"/>
    </xf>
    <xf numFmtId="0" fontId="164" fillId="27" borderId="166" xfId="0" applyFont="1" applyFill="1" applyBorder="1" applyAlignment="1">
      <alignment vertical="center"/>
    </xf>
    <xf numFmtId="0" fontId="164" fillId="27" borderId="13" xfId="0" applyFont="1" applyFill="1" applyBorder="1" applyAlignment="1">
      <alignment vertical="center"/>
    </xf>
    <xf numFmtId="0" fontId="164" fillId="27" borderId="13" xfId="0" applyFont="1" applyFill="1" applyBorder="1" applyAlignment="1">
      <alignment vertical="top"/>
    </xf>
    <xf numFmtId="0" fontId="164" fillId="27" borderId="14" xfId="0" applyFont="1" applyFill="1" applyBorder="1" applyAlignment="1">
      <alignment vertical="center"/>
    </xf>
    <xf numFmtId="0" fontId="164" fillId="27" borderId="171" xfId="0" applyFont="1" applyFill="1" applyBorder="1" applyAlignment="1">
      <alignment vertical="center"/>
    </xf>
    <xf numFmtId="0" fontId="164" fillId="27" borderId="171" xfId="0" applyFont="1" applyFill="1" applyBorder="1" applyAlignment="1">
      <alignment vertical="top"/>
    </xf>
    <xf numFmtId="0" fontId="164" fillId="27" borderId="170" xfId="0" applyFont="1" applyFill="1" applyBorder="1" applyAlignment="1">
      <alignment vertical="center"/>
    </xf>
    <xf numFmtId="0" fontId="164" fillId="0" borderId="0" xfId="0" applyFont="1" applyFill="1" applyAlignment="1" applyProtection="1">
      <alignment vertical="center"/>
      <protection hidden="1"/>
    </xf>
    <xf numFmtId="0" fontId="164" fillId="0" borderId="0" xfId="0" applyFont="1" applyFill="1" applyProtection="1">
      <alignment vertical="center"/>
    </xf>
    <xf numFmtId="0" fontId="48" fillId="0" borderId="0" xfId="0" applyFont="1" applyFill="1" applyAlignment="1" applyProtection="1">
      <alignment horizontal="right" vertical="center"/>
      <protection hidden="1"/>
    </xf>
    <xf numFmtId="0" fontId="164" fillId="27" borderId="13" xfId="0" applyFont="1" applyFill="1" applyBorder="1" applyAlignment="1">
      <alignment horizontal="left" vertical="center"/>
    </xf>
    <xf numFmtId="0" fontId="164" fillId="27" borderId="171" xfId="0" applyFont="1" applyFill="1" applyBorder="1" applyAlignment="1">
      <alignment horizontal="left" vertical="center"/>
    </xf>
    <xf numFmtId="0" fontId="164" fillId="0" borderId="57" xfId="0" applyFont="1" applyBorder="1" applyAlignment="1">
      <alignment horizontal="left" vertical="center" wrapText="1"/>
    </xf>
    <xf numFmtId="177" fontId="28" fillId="0" borderId="0" xfId="0" applyNumberFormat="1" applyFont="1" applyFill="1" applyBorder="1" applyAlignment="1" applyProtection="1">
      <alignment horizontal="justify" vertical="center"/>
      <protection hidden="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164" fillId="27" borderId="168" xfId="0" applyFont="1" applyFill="1" applyBorder="1" applyAlignment="1">
      <alignment horizontal="center" vertical="center" wrapText="1"/>
    </xf>
    <xf numFmtId="0" fontId="164" fillId="0" borderId="0" xfId="0" applyFont="1" applyProtection="1">
      <alignment vertical="center"/>
    </xf>
    <xf numFmtId="0" fontId="164" fillId="0" borderId="0" xfId="0" applyFont="1" applyBorder="1" applyAlignment="1">
      <alignment vertical="center" wrapText="1"/>
    </xf>
    <xf numFmtId="203" fontId="26" fillId="44" borderId="144" xfId="0" applyNumberFormat="1" applyFont="1" applyFill="1" applyBorder="1" applyAlignment="1" applyProtection="1">
      <alignment horizontal="center" vertical="center"/>
      <protection hidden="1"/>
    </xf>
    <xf numFmtId="203" fontId="26" fillId="31" borderId="144" xfId="0" applyNumberFormat="1" applyFont="1" applyFill="1" applyBorder="1" applyAlignment="1" applyProtection="1">
      <alignment horizontal="center" vertical="center"/>
      <protection hidden="1"/>
    </xf>
    <xf numFmtId="0" fontId="23" fillId="27" borderId="26" xfId="0" applyNumberFormat="1" applyFont="1" applyFill="1" applyBorder="1" applyAlignment="1" applyProtection="1">
      <alignment horizontal="left" vertical="center"/>
      <protection hidden="1"/>
    </xf>
    <xf numFmtId="0" fontId="125" fillId="27" borderId="50" xfId="0" applyFont="1" applyFill="1" applyBorder="1" applyAlignment="1" applyProtection="1">
      <alignment horizontal="right" vertical="center"/>
      <protection hidden="1"/>
    </xf>
    <xf numFmtId="197" fontId="165" fillId="27" borderId="10" xfId="35" applyNumberFormat="1" applyFont="1" applyFill="1" applyBorder="1" applyAlignment="1" applyProtection="1">
      <alignment horizontal="center" vertical="center"/>
      <protection hidden="1"/>
    </xf>
    <xf numFmtId="2" fontId="165" fillId="27" borderId="27" xfId="35" applyNumberFormat="1" applyFont="1" applyFill="1" applyBorder="1" applyAlignment="1" applyProtection="1">
      <alignment horizontal="center" vertical="center"/>
      <protection hidden="1"/>
    </xf>
    <xf numFmtId="2" fontId="165" fillId="27" borderId="10" xfId="35" applyNumberFormat="1" applyFont="1" applyFill="1" applyBorder="1" applyAlignment="1" applyProtection="1">
      <alignment horizontal="center" vertical="center"/>
      <protection hidden="1"/>
    </xf>
    <xf numFmtId="202" fontId="28" fillId="0" borderId="17" xfId="35" applyNumberFormat="1" applyFont="1" applyFill="1" applyBorder="1" applyAlignment="1" applyProtection="1">
      <alignment horizontal="center" vertical="center"/>
      <protection hidden="1"/>
    </xf>
    <xf numFmtId="203" fontId="26" fillId="31" borderId="92" xfId="0" applyNumberFormat="1" applyFont="1" applyFill="1" applyBorder="1" applyAlignment="1" applyProtection="1">
      <alignment horizontal="center" vertical="center"/>
      <protection hidden="1"/>
    </xf>
    <xf numFmtId="0" fontId="28" fillId="27" borderId="55" xfId="0" applyFont="1" applyFill="1" applyBorder="1" applyAlignment="1" applyProtection="1">
      <alignment horizontal="center" vertical="center" wrapText="1"/>
      <protection hidden="1"/>
    </xf>
    <xf numFmtId="0" fontId="6" fillId="27" borderId="72" xfId="0" applyFont="1" applyFill="1" applyBorder="1" applyAlignment="1" applyProtection="1"/>
    <xf numFmtId="0" fontId="45" fillId="27" borderId="73" xfId="0" applyFont="1" applyFill="1" applyBorder="1" applyAlignment="1" applyProtection="1"/>
    <xf numFmtId="0" fontId="33" fillId="27" borderId="73" xfId="0" applyFont="1" applyFill="1" applyBorder="1" applyProtection="1">
      <alignment vertical="center"/>
    </xf>
    <xf numFmtId="0" fontId="0" fillId="27" borderId="73" xfId="0" applyFill="1" applyBorder="1" applyProtection="1">
      <alignment vertical="center"/>
    </xf>
    <xf numFmtId="0" fontId="33" fillId="27" borderId="73" xfId="0" applyFont="1" applyFill="1" applyBorder="1" applyAlignment="1" applyProtection="1">
      <alignment horizontal="right" vertical="center"/>
    </xf>
    <xf numFmtId="0" fontId="33" fillId="27" borderId="73" xfId="0" applyFont="1" applyFill="1" applyBorder="1" applyAlignment="1" applyProtection="1">
      <alignment vertical="center"/>
    </xf>
    <xf numFmtId="0" fontId="6" fillId="27" borderId="73" xfId="0" applyFont="1" applyFill="1" applyBorder="1" applyAlignment="1" applyProtection="1">
      <alignment horizontal="right"/>
    </xf>
    <xf numFmtId="0" fontId="0" fillId="27" borderId="61" xfId="0" applyFill="1" applyBorder="1" applyProtection="1">
      <alignment vertical="center"/>
    </xf>
    <xf numFmtId="0" fontId="125" fillId="27" borderId="0" xfId="0" applyFont="1" applyFill="1" applyBorder="1" applyProtection="1">
      <alignment vertical="center"/>
    </xf>
    <xf numFmtId="38" fontId="33" fillId="41" borderId="144" xfId="35" applyFont="1" applyFill="1" applyBorder="1" applyAlignment="1" applyProtection="1">
      <alignment horizontal="center" vertical="center"/>
      <protection locked="0"/>
    </xf>
    <xf numFmtId="0" fontId="125" fillId="27" borderId="0" xfId="0" applyFont="1" applyFill="1" applyBorder="1" applyAlignment="1" applyProtection="1">
      <alignment vertical="center"/>
    </xf>
    <xf numFmtId="0" fontId="33" fillId="27" borderId="63" xfId="0" applyFont="1" applyFill="1" applyBorder="1" applyAlignment="1" applyProtection="1">
      <alignment horizontal="right" vertical="center"/>
    </xf>
    <xf numFmtId="0" fontId="33" fillId="27" borderId="62" xfId="0" applyFont="1" applyFill="1" applyBorder="1" applyProtection="1">
      <alignment vertical="center"/>
    </xf>
    <xf numFmtId="0" fontId="33" fillId="27" borderId="0" xfId="0" applyFont="1" applyFill="1" applyBorder="1" applyProtection="1">
      <alignment vertical="center"/>
    </xf>
    <xf numFmtId="0" fontId="33" fillId="27" borderId="0" xfId="44" applyFont="1" applyFill="1" applyBorder="1" applyAlignment="1" applyProtection="1">
      <alignment horizontal="right"/>
    </xf>
    <xf numFmtId="0" fontId="33" fillId="27" borderId="0" xfId="44" applyFont="1" applyFill="1" applyBorder="1" applyAlignment="1" applyProtection="1"/>
    <xf numFmtId="0" fontId="33" fillId="27" borderId="62" xfId="44" applyFont="1" applyFill="1" applyBorder="1" applyAlignment="1" applyProtection="1">
      <alignment vertical="center"/>
    </xf>
    <xf numFmtId="0" fontId="33" fillId="27" borderId="0" xfId="0" applyFont="1" applyFill="1" applyBorder="1" applyAlignment="1" applyProtection="1">
      <alignment horizontal="right" vertical="center"/>
    </xf>
    <xf numFmtId="0" fontId="33" fillId="27" borderId="0" xfId="0" applyFont="1" applyFill="1" applyBorder="1" applyAlignment="1" applyProtection="1">
      <alignment horizontal="left" vertical="center"/>
    </xf>
    <xf numFmtId="178" fontId="33" fillId="27" borderId="10" xfId="28" applyNumberFormat="1" applyFont="1" applyFill="1" applyBorder="1" applyProtection="1">
      <alignment vertical="center"/>
    </xf>
    <xf numFmtId="40" fontId="33" fillId="27" borderId="10" xfId="0" applyNumberFormat="1" applyFont="1" applyFill="1" applyBorder="1" applyProtection="1">
      <alignment vertical="center"/>
    </xf>
    <xf numFmtId="178" fontId="33" fillId="27" borderId="0" xfId="0" applyNumberFormat="1" applyFont="1" applyFill="1" applyBorder="1" applyAlignment="1" applyProtection="1">
      <alignment horizontal="left" vertical="center"/>
    </xf>
    <xf numFmtId="38" fontId="33" fillId="27" borderId="10" xfId="35" applyFont="1" applyFill="1" applyBorder="1" applyProtection="1">
      <alignment vertical="center"/>
    </xf>
    <xf numFmtId="40" fontId="33" fillId="27" borderId="62" xfId="0" applyNumberFormat="1" applyFont="1" applyFill="1" applyBorder="1" applyProtection="1">
      <alignment vertical="center"/>
    </xf>
    <xf numFmtId="213" fontId="33" fillId="27" borderId="0" xfId="0" applyNumberFormat="1" applyFont="1" applyFill="1" applyBorder="1" applyProtection="1">
      <alignment vertical="center"/>
    </xf>
    <xf numFmtId="40" fontId="33" fillId="27" borderId="0" xfId="0" applyNumberFormat="1" applyFont="1" applyFill="1" applyBorder="1" applyProtection="1">
      <alignment vertical="center"/>
    </xf>
    <xf numFmtId="178" fontId="33" fillId="27" borderId="63" xfId="0" applyNumberFormat="1" applyFont="1" applyFill="1" applyBorder="1" applyAlignment="1" applyProtection="1">
      <alignment horizontal="right" vertical="center"/>
    </xf>
    <xf numFmtId="177" fontId="33" fillId="27" borderId="10" xfId="44" applyNumberFormat="1" applyFont="1" applyFill="1" applyBorder="1" applyAlignment="1" applyProtection="1">
      <alignment horizontal="center" vertical="center"/>
    </xf>
    <xf numFmtId="190" fontId="33" fillId="27" borderId="10" xfId="28" applyNumberFormat="1" applyFont="1" applyFill="1" applyBorder="1" applyAlignment="1" applyProtection="1">
      <alignment horizontal="center" vertical="center"/>
    </xf>
    <xf numFmtId="0" fontId="40" fillId="27" borderId="0" xfId="44" applyFont="1" applyFill="1" applyBorder="1" applyAlignment="1" applyProtection="1">
      <alignment horizontal="left" vertical="center"/>
    </xf>
    <xf numFmtId="0" fontId="28" fillId="27" borderId="182" xfId="0" applyFont="1" applyFill="1" applyBorder="1" applyAlignment="1">
      <alignment vertical="center"/>
    </xf>
    <xf numFmtId="0" fontId="33" fillId="27" borderId="0" xfId="0" applyFont="1" applyFill="1" applyBorder="1" applyAlignment="1" applyProtection="1">
      <alignment horizontal="center" vertical="center"/>
      <protection hidden="1"/>
    </xf>
    <xf numFmtId="0" fontId="33" fillId="27" borderId="24" xfId="0" applyFont="1" applyFill="1" applyBorder="1" applyAlignment="1" applyProtection="1">
      <alignment horizontal="right" vertical="center"/>
      <protection hidden="1"/>
    </xf>
    <xf numFmtId="178" fontId="33" fillId="27" borderId="28" xfId="0" applyNumberFormat="1" applyFont="1" applyFill="1" applyBorder="1" applyProtection="1">
      <alignment vertical="center"/>
      <protection hidden="1"/>
    </xf>
    <xf numFmtId="181" fontId="28" fillId="27" borderId="164" xfId="0" applyNumberFormat="1" applyFont="1" applyFill="1" applyBorder="1" applyAlignment="1" applyProtection="1">
      <alignment vertical="center"/>
      <protection hidden="1"/>
    </xf>
    <xf numFmtId="179" fontId="28" fillId="31" borderId="53" xfId="0" applyNumberFormat="1" applyFont="1" applyFill="1" applyBorder="1" applyAlignment="1" applyProtection="1">
      <alignment horizontal="left" vertical="center"/>
      <protection hidden="1"/>
    </xf>
    <xf numFmtId="194" fontId="26" fillId="27" borderId="188" xfId="0" applyNumberFormat="1" applyFont="1" applyFill="1" applyBorder="1" applyAlignment="1" applyProtection="1">
      <alignment horizontal="center" vertical="center"/>
      <protection locked="0" hidden="1"/>
    </xf>
    <xf numFmtId="194" fontId="26" fillId="27" borderId="115" xfId="0" applyNumberFormat="1" applyFont="1" applyFill="1" applyBorder="1" applyAlignment="1" applyProtection="1">
      <alignment horizontal="center" vertical="center"/>
      <protection locked="0" hidden="1"/>
    </xf>
    <xf numFmtId="0" fontId="26" fillId="27" borderId="26" xfId="0" applyNumberFormat="1" applyFont="1" applyFill="1" applyBorder="1" applyAlignment="1" applyProtection="1">
      <alignment horizontal="centerContinuous" vertical="center"/>
      <protection hidden="1"/>
    </xf>
    <xf numFmtId="0" fontId="28" fillId="27" borderId="55" xfId="0" applyNumberFormat="1" applyFont="1" applyFill="1" applyBorder="1" applyAlignment="1" applyProtection="1">
      <alignment horizontal="centerContinuous" vertical="center"/>
      <protection hidden="1"/>
    </xf>
    <xf numFmtId="0" fontId="28" fillId="27" borderId="201" xfId="0" applyFont="1" applyFill="1" applyBorder="1" applyAlignment="1" applyProtection="1">
      <alignment horizontal="left" vertical="center"/>
      <protection hidden="1"/>
    </xf>
    <xf numFmtId="180" fontId="28" fillId="31" borderId="26" xfId="0" applyNumberFormat="1" applyFont="1" applyFill="1" applyBorder="1" applyAlignment="1" applyProtection="1">
      <alignment horizontal="centerContinuous" vertical="center"/>
      <protection hidden="1"/>
    </xf>
    <xf numFmtId="0" fontId="28" fillId="27" borderId="181" xfId="0" applyFont="1" applyFill="1" applyBorder="1" applyAlignment="1">
      <alignment vertical="center"/>
    </xf>
    <xf numFmtId="0" fontId="28" fillId="27" borderId="181" xfId="0" applyFont="1" applyFill="1" applyBorder="1" applyAlignment="1" applyProtection="1">
      <alignment horizontal="left" vertical="center"/>
      <protection hidden="1"/>
    </xf>
    <xf numFmtId="0" fontId="164" fillId="27" borderId="181" xfId="0" applyFont="1" applyFill="1" applyBorder="1" applyAlignment="1">
      <alignment vertical="center"/>
    </xf>
    <xf numFmtId="0" fontId="164" fillId="27" borderId="181" xfId="0" applyFont="1" applyFill="1" applyBorder="1" applyAlignment="1">
      <alignment vertical="top"/>
    </xf>
    <xf numFmtId="0" fontId="164" fillId="27" borderId="182" xfId="0" applyFont="1" applyFill="1" applyBorder="1" applyAlignment="1">
      <alignment vertical="center"/>
    </xf>
    <xf numFmtId="0" fontId="28" fillId="27" borderId="171" xfId="0" applyFont="1" applyFill="1" applyBorder="1" applyAlignment="1" applyProtection="1">
      <alignment vertical="center"/>
    </xf>
    <xf numFmtId="0" fontId="166" fillId="27" borderId="0" xfId="0" applyFont="1" applyFill="1" applyBorder="1" applyProtection="1">
      <alignment vertical="center"/>
    </xf>
    <xf numFmtId="177" fontId="28" fillId="27" borderId="165" xfId="0" applyNumberFormat="1" applyFont="1" applyFill="1" applyBorder="1" applyAlignment="1" applyProtection="1">
      <alignment vertical="center" wrapText="1"/>
      <protection hidden="1"/>
    </xf>
    <xf numFmtId="0" fontId="28" fillId="27" borderId="175" xfId="0" applyFont="1" applyFill="1" applyBorder="1" applyAlignment="1" applyProtection="1">
      <alignment horizontal="left" vertical="center"/>
      <protection hidden="1"/>
    </xf>
    <xf numFmtId="0" fontId="27" fillId="0" borderId="0" xfId="0" applyFont="1" applyFill="1" applyProtection="1">
      <alignment vertical="center"/>
      <protection hidden="1"/>
    </xf>
    <xf numFmtId="0" fontId="45" fillId="29" borderId="0" xfId="0" applyFont="1" applyFill="1" applyAlignment="1" applyProtection="1">
      <alignment vertical="center"/>
      <protection hidden="1"/>
    </xf>
    <xf numFmtId="0" fontId="150" fillId="29" borderId="0" xfId="0" applyFont="1" applyFill="1" applyAlignment="1" applyProtection="1">
      <alignment vertical="center"/>
      <protection hidden="1"/>
    </xf>
    <xf numFmtId="0" fontId="151" fillId="29" borderId="0" xfId="0" applyFont="1" applyFill="1" applyAlignment="1" applyProtection="1">
      <alignment vertical="center"/>
      <protection hidden="1"/>
    </xf>
    <xf numFmtId="0" fontId="45" fillId="29" borderId="0" xfId="0" applyFont="1" applyFill="1" applyAlignment="1" applyProtection="1">
      <alignment horizontal="left" vertical="center"/>
      <protection hidden="1"/>
    </xf>
    <xf numFmtId="0" fontId="150" fillId="29" borderId="0" xfId="0" applyFont="1" applyFill="1" applyAlignment="1" applyProtection="1">
      <alignment vertical="center"/>
    </xf>
    <xf numFmtId="0" fontId="28" fillId="27" borderId="87" xfId="0" applyFont="1" applyFill="1" applyBorder="1" applyAlignment="1" applyProtection="1">
      <alignment horizontal="left" vertical="center"/>
      <protection hidden="1"/>
    </xf>
    <xf numFmtId="0" fontId="28" fillId="27" borderId="195" xfId="0" applyFont="1" applyFill="1" applyBorder="1" applyAlignment="1" applyProtection="1">
      <alignment horizontal="left" vertical="center"/>
      <protection hidden="1"/>
    </xf>
    <xf numFmtId="0" fontId="28" fillId="27" borderId="12" xfId="0" applyFont="1" applyFill="1" applyBorder="1" applyAlignment="1" applyProtection="1">
      <alignment vertical="center"/>
      <protection hidden="1"/>
    </xf>
    <xf numFmtId="0" fontId="6" fillId="27" borderId="13" xfId="0" applyFont="1" applyFill="1" applyBorder="1" applyAlignment="1">
      <alignment vertical="center"/>
    </xf>
    <xf numFmtId="0" fontId="6" fillId="27" borderId="14" xfId="0" applyFont="1" applyFill="1" applyBorder="1" applyAlignment="1">
      <alignment vertical="center"/>
    </xf>
    <xf numFmtId="0" fontId="150" fillId="29" borderId="0" xfId="0" applyFont="1" applyFill="1" applyAlignment="1" applyProtection="1">
      <alignment horizontal="left" vertical="center"/>
      <protection hidden="1"/>
    </xf>
    <xf numFmtId="0" fontId="26" fillId="29" borderId="0" xfId="0" applyFont="1" applyFill="1" applyProtection="1">
      <alignment vertical="center"/>
    </xf>
    <xf numFmtId="0" fontId="28" fillId="29" borderId="0" xfId="0" applyFont="1" applyFill="1" applyProtection="1">
      <alignment vertical="center"/>
    </xf>
    <xf numFmtId="0" fontId="37" fillId="29" borderId="0" xfId="0" applyFont="1" applyFill="1" applyBorder="1" applyAlignment="1" applyProtection="1">
      <alignment horizontal="justify"/>
      <protection hidden="1"/>
    </xf>
    <xf numFmtId="219" fontId="125" fillId="27" borderId="10" xfId="35" applyNumberFormat="1" applyFont="1" applyFill="1" applyBorder="1" applyAlignment="1" applyProtection="1">
      <alignment horizontal="center" vertical="center"/>
      <protection hidden="1"/>
    </xf>
    <xf numFmtId="2" fontId="33" fillId="47" borderId="10" xfId="35" applyNumberFormat="1" applyFont="1" applyFill="1" applyBorder="1" applyAlignment="1" applyProtection="1">
      <alignment horizontal="center" vertical="center"/>
      <protection hidden="1"/>
    </xf>
    <xf numFmtId="0" fontId="28" fillId="31" borderId="89" xfId="0" applyFont="1" applyFill="1" applyBorder="1" applyAlignment="1" applyProtection="1">
      <alignment horizontal="centerContinuous" vertical="center"/>
      <protection hidden="1"/>
    </xf>
    <xf numFmtId="0" fontId="28" fillId="31" borderId="50" xfId="0" applyFont="1" applyFill="1" applyBorder="1" applyAlignment="1" applyProtection="1">
      <alignment horizontal="right" vertical="center"/>
      <protection hidden="1"/>
    </xf>
    <xf numFmtId="178" fontId="33" fillId="27" borderId="10" xfId="44" applyNumberFormat="1" applyFont="1" applyFill="1" applyBorder="1" applyAlignment="1" applyProtection="1">
      <alignment horizontal="right" vertical="center"/>
    </xf>
    <xf numFmtId="0" fontId="125" fillId="27" borderId="0" xfId="0" applyFont="1" applyFill="1" applyBorder="1" applyAlignment="1" applyProtection="1">
      <alignment horizontal="center" vertical="center"/>
    </xf>
    <xf numFmtId="179" fontId="28" fillId="31" borderId="10" xfId="0" applyNumberFormat="1" applyFont="1" applyFill="1" applyBorder="1" applyAlignment="1" applyProtection="1">
      <alignment horizontal="center" vertical="center"/>
      <protection hidden="1"/>
    </xf>
    <xf numFmtId="213" fontId="33" fillId="0" borderId="26" xfId="44" applyNumberFormat="1" applyFont="1" applyBorder="1" applyAlignment="1"/>
    <xf numFmtId="0" fontId="28"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3" fillId="0" borderId="0" xfId="44" applyFont="1" applyBorder="1" applyAlignment="1">
      <alignment horizontal="right"/>
    </xf>
    <xf numFmtId="0" fontId="0" fillId="0" borderId="64" xfId="0" applyBorder="1" applyAlignment="1">
      <alignment vertical="top"/>
    </xf>
    <xf numFmtId="0" fontId="33" fillId="0" borderId="50" xfId="0" applyFont="1" applyFill="1" applyBorder="1" applyAlignment="1" applyProtection="1">
      <alignment horizontal="left" vertical="center"/>
      <protection locked="0"/>
    </xf>
    <xf numFmtId="0" fontId="31" fillId="28" borderId="0" xfId="0" applyFont="1" applyFill="1" applyBorder="1" applyAlignment="1" applyProtection="1">
      <alignment horizontal="center" vertical="center"/>
      <protection hidden="1"/>
    </xf>
    <xf numFmtId="0" fontId="42" fillId="27" borderId="42" xfId="29" applyFont="1" applyFill="1" applyBorder="1" applyAlignment="1" applyProtection="1">
      <alignment horizontal="left" vertical="center" indent="1"/>
      <protection hidden="1"/>
    </xf>
    <xf numFmtId="0" fontId="33" fillId="27" borderId="50" xfId="0" applyFont="1" applyFill="1" applyBorder="1" applyAlignment="1" applyProtection="1">
      <alignment horizontal="left" vertical="top"/>
      <protection hidden="1"/>
    </xf>
    <xf numFmtId="0" fontId="33" fillId="27" borderId="57" xfId="0" applyFont="1" applyFill="1" applyBorder="1" applyAlignment="1" applyProtection="1">
      <alignment horizontal="left" vertical="top"/>
      <protection hidden="1"/>
    </xf>
    <xf numFmtId="0" fontId="28" fillId="27" borderId="0" xfId="0" applyFont="1" applyFill="1" applyBorder="1" applyAlignment="1" applyProtection="1">
      <alignment horizontal="right" vertical="center"/>
      <protection hidden="1"/>
    </xf>
    <xf numFmtId="179" fontId="28" fillId="27" borderId="25" xfId="0" applyNumberFormat="1" applyFont="1" applyFill="1" applyBorder="1" applyAlignment="1" applyProtection="1">
      <alignment horizontal="left" vertical="center"/>
    </xf>
    <xf numFmtId="0" fontId="35" fillId="0" borderId="10" xfId="0" applyFont="1" applyFill="1" applyBorder="1" applyAlignment="1" applyProtection="1">
      <alignment horizontal="center" vertical="center"/>
      <protection locked="0" hidden="1"/>
    </xf>
    <xf numFmtId="179" fontId="0" fillId="0" borderId="10" xfId="0" applyNumberFormat="1" applyBorder="1" applyAlignment="1">
      <alignment vertical="top"/>
    </xf>
    <xf numFmtId="0" fontId="33" fillId="0" borderId="52" xfId="0" applyFont="1" applyBorder="1" applyAlignment="1">
      <alignment vertical="top"/>
    </xf>
    <xf numFmtId="0" fontId="33" fillId="0" borderId="53" xfId="0" applyFont="1" applyBorder="1" applyAlignment="1">
      <alignment vertical="top"/>
    </xf>
    <xf numFmtId="0" fontId="33" fillId="0" borderId="54" xfId="0" applyFont="1" applyBorder="1" applyAlignment="1">
      <alignment vertical="top"/>
    </xf>
    <xf numFmtId="0" fontId="33" fillId="0" borderId="10" xfId="0" applyFont="1" applyBorder="1">
      <alignment vertical="center"/>
    </xf>
    <xf numFmtId="0" fontId="33" fillId="0" borderId="26" xfId="0" applyFont="1" applyBorder="1" applyAlignment="1">
      <alignment vertical="top" wrapText="1"/>
    </xf>
    <xf numFmtId="0" fontId="33" fillId="0" borderId="50" xfId="0" applyFont="1" applyBorder="1" applyAlignment="1">
      <alignment vertical="top" wrapText="1"/>
    </xf>
    <xf numFmtId="0" fontId="33" fillId="0" borderId="27" xfId="0" applyFont="1" applyBorder="1" applyAlignment="1">
      <alignment vertical="top" wrapText="1"/>
    </xf>
    <xf numFmtId="0" fontId="33" fillId="0" borderId="26" xfId="0" applyFont="1" applyBorder="1" applyAlignment="1">
      <alignment vertical="top"/>
    </xf>
    <xf numFmtId="0" fontId="33" fillId="0" borderId="50" xfId="0" applyFont="1" applyBorder="1" applyAlignment="1">
      <alignment vertical="top"/>
    </xf>
    <xf numFmtId="0" fontId="33" fillId="0" borderId="27" xfId="0" applyFont="1" applyBorder="1">
      <alignment vertical="center"/>
    </xf>
    <xf numFmtId="0" fontId="33" fillId="0" borderId="51" xfId="0" applyFont="1" applyBorder="1">
      <alignment vertical="center"/>
    </xf>
    <xf numFmtId="0" fontId="33" fillId="0" borderId="64" xfId="0" applyFont="1" applyBorder="1" applyAlignment="1">
      <alignment vertical="top"/>
    </xf>
    <xf numFmtId="0" fontId="33" fillId="0" borderId="0" xfId="0" applyFont="1" applyBorder="1" applyAlignment="1">
      <alignment vertical="top"/>
    </xf>
    <xf numFmtId="0" fontId="33" fillId="0" borderId="17" xfId="0" applyFont="1" applyBorder="1" applyAlignment="1">
      <alignment vertical="top"/>
    </xf>
    <xf numFmtId="213" fontId="33" fillId="0" borderId="26" xfId="0" applyNumberFormat="1" applyFont="1" applyBorder="1" applyAlignment="1">
      <alignment vertical="top"/>
    </xf>
    <xf numFmtId="213" fontId="33" fillId="0" borderId="50" xfId="0" applyNumberFormat="1" applyFont="1" applyBorder="1" applyAlignment="1">
      <alignment vertical="top"/>
    </xf>
    <xf numFmtId="213" fontId="33" fillId="0" borderId="27" xfId="0" applyNumberFormat="1" applyFont="1" applyBorder="1">
      <alignment vertical="center"/>
    </xf>
    <xf numFmtId="0" fontId="33" fillId="0" borderId="15" xfId="0" applyFont="1" applyBorder="1">
      <alignment vertical="center"/>
    </xf>
    <xf numFmtId="0" fontId="33" fillId="0" borderId="56" xfId="0" applyFont="1" applyBorder="1" applyAlignment="1">
      <alignment vertical="top"/>
    </xf>
    <xf numFmtId="0" fontId="33" fillId="0" borderId="57" xfId="0" applyFont="1" applyBorder="1" applyAlignment="1">
      <alignment vertical="top"/>
    </xf>
    <xf numFmtId="0" fontId="33" fillId="0" borderId="58" xfId="0" applyFont="1" applyBorder="1" applyAlignment="1">
      <alignment vertical="top"/>
    </xf>
    <xf numFmtId="0" fontId="33" fillId="0" borderId="10" xfId="0" applyFont="1" applyBorder="1" applyAlignment="1">
      <alignment vertical="top"/>
    </xf>
    <xf numFmtId="0" fontId="33" fillId="0" borderId="10" xfId="0" applyFont="1" applyBorder="1" applyAlignment="1">
      <alignment vertical="top" wrapText="1"/>
    </xf>
    <xf numFmtId="0" fontId="33" fillId="0" borderId="10" xfId="0" applyFont="1" applyFill="1" applyBorder="1" applyAlignment="1">
      <alignment vertical="top"/>
    </xf>
    <xf numFmtId="0" fontId="33" fillId="0" borderId="55" xfId="0" applyFont="1" applyFill="1" applyBorder="1" applyAlignment="1">
      <alignment vertical="top"/>
    </xf>
    <xf numFmtId="0" fontId="33" fillId="0" borderId="51" xfId="0" applyFont="1" applyBorder="1" applyAlignment="1">
      <alignment vertical="top"/>
    </xf>
    <xf numFmtId="0" fontId="33" fillId="0" borderId="27" xfId="0" applyFont="1" applyBorder="1" applyAlignment="1">
      <alignment vertical="top"/>
    </xf>
    <xf numFmtId="38" fontId="33" fillId="0" borderId="10" xfId="35" applyFont="1" applyBorder="1" applyAlignment="1">
      <alignment vertical="top"/>
    </xf>
    <xf numFmtId="9" fontId="33" fillId="0" borderId="10" xfId="0" applyNumberFormat="1" applyFont="1" applyBorder="1" applyAlignment="1">
      <alignment vertical="top"/>
    </xf>
    <xf numFmtId="0" fontId="33" fillId="0" borderId="10" xfId="0" applyFont="1" applyBorder="1" applyAlignment="1">
      <alignment horizontal="center"/>
    </xf>
    <xf numFmtId="213" fontId="33" fillId="0" borderId="10" xfId="0" applyNumberFormat="1" applyFont="1" applyBorder="1">
      <alignment vertical="center"/>
    </xf>
    <xf numFmtId="0" fontId="33" fillId="0" borderId="55" xfId="0" applyFont="1" applyBorder="1" applyAlignment="1">
      <alignment vertical="top"/>
    </xf>
    <xf numFmtId="0" fontId="33" fillId="0" borderId="15" xfId="0" applyFont="1" applyBorder="1" applyAlignment="1">
      <alignment vertical="top"/>
    </xf>
    <xf numFmtId="0" fontId="33" fillId="26" borderId="0" xfId="0" applyFont="1" applyFill="1">
      <alignment vertical="center"/>
    </xf>
    <xf numFmtId="0" fontId="33" fillId="0" borderId="56" xfId="0" applyFont="1" applyFill="1" applyBorder="1" applyAlignment="1">
      <alignment vertical="top"/>
    </xf>
    <xf numFmtId="0" fontId="33" fillId="0" borderId="58" xfId="0" applyFont="1" applyFill="1" applyBorder="1" applyAlignment="1">
      <alignment vertical="top"/>
    </xf>
    <xf numFmtId="0" fontId="33" fillId="0" borderId="55" xfId="0" applyFont="1" applyBorder="1">
      <alignment vertical="center"/>
    </xf>
    <xf numFmtId="0" fontId="33" fillId="0" borderId="26" xfId="0" applyFont="1" applyFill="1" applyBorder="1" applyAlignment="1">
      <alignment vertical="top"/>
    </xf>
    <xf numFmtId="0" fontId="33" fillId="0" borderId="27" xfId="0" applyFont="1" applyFill="1" applyBorder="1" applyAlignment="1">
      <alignment vertical="top"/>
    </xf>
    <xf numFmtId="0" fontId="33" fillId="0" borderId="0" xfId="0" applyFont="1" applyFill="1" applyBorder="1" applyAlignment="1">
      <alignment vertical="top"/>
    </xf>
    <xf numFmtId="0" fontId="33" fillId="0" borderId="26" xfId="0" applyFont="1" applyBorder="1">
      <alignment vertical="center"/>
    </xf>
    <xf numFmtId="0" fontId="33" fillId="0" borderId="50" xfId="0" applyFont="1" applyBorder="1">
      <alignment vertical="center"/>
    </xf>
    <xf numFmtId="38" fontId="33" fillId="0" borderId="10" xfId="35" applyFont="1" applyBorder="1">
      <alignment vertical="center"/>
    </xf>
    <xf numFmtId="38" fontId="33" fillId="0" borderId="0" xfId="0" applyNumberFormat="1" applyFont="1">
      <alignment vertical="center"/>
    </xf>
    <xf numFmtId="0" fontId="33" fillId="27" borderId="63" xfId="44" applyFont="1" applyFill="1" applyBorder="1" applyAlignment="1" applyProtection="1">
      <alignment horizontal="left"/>
    </xf>
    <xf numFmtId="212" fontId="33" fillId="27" borderId="10" xfId="35" applyNumberFormat="1" applyFont="1" applyFill="1" applyBorder="1" applyAlignment="1" applyProtection="1"/>
    <xf numFmtId="40" fontId="33" fillId="27" borderId="10" xfId="35" applyNumberFormat="1" applyFont="1" applyFill="1" applyBorder="1" applyAlignment="1" applyProtection="1">
      <alignment horizontal="right" vertical="center"/>
    </xf>
    <xf numFmtId="0" fontId="6" fillId="0" borderId="0" xfId="0" applyFont="1" applyAlignment="1">
      <alignment vertical="top"/>
    </xf>
    <xf numFmtId="40" fontId="33" fillId="27" borderId="0" xfId="35" applyNumberFormat="1" applyFont="1" applyFill="1" applyBorder="1" applyAlignment="1" applyProtection="1">
      <alignment horizontal="right" vertical="center"/>
    </xf>
    <xf numFmtId="40" fontId="33" fillId="27" borderId="63" xfId="35" applyNumberFormat="1" applyFont="1" applyFill="1" applyBorder="1" applyAlignment="1" applyProtection="1">
      <alignment horizontal="right" vertical="center"/>
    </xf>
    <xf numFmtId="0" fontId="33" fillId="0" borderId="50" xfId="0" applyFont="1" applyBorder="1" applyAlignment="1">
      <alignment horizontal="center" vertical="center"/>
    </xf>
    <xf numFmtId="0" fontId="33" fillId="27" borderId="63" xfId="0" applyFont="1" applyFill="1" applyBorder="1" applyProtection="1">
      <alignment vertical="center"/>
    </xf>
    <xf numFmtId="0" fontId="125" fillId="27" borderId="0" xfId="44" quotePrefix="1" applyFont="1" applyFill="1" applyBorder="1" applyAlignment="1" applyProtection="1">
      <alignment vertical="center"/>
    </xf>
    <xf numFmtId="178" fontId="33" fillId="27" borderId="10" xfId="0" applyNumberFormat="1" applyFont="1" applyFill="1" applyBorder="1" applyProtection="1">
      <alignment vertical="center"/>
    </xf>
    <xf numFmtId="178" fontId="33" fillId="27" borderId="0" xfId="0" applyNumberFormat="1" applyFont="1" applyFill="1" applyBorder="1" applyProtection="1">
      <alignment vertical="center"/>
    </xf>
    <xf numFmtId="0" fontId="33" fillId="27" borderId="65" xfId="0" applyFont="1" applyFill="1" applyBorder="1" applyProtection="1">
      <alignment vertical="center"/>
    </xf>
    <xf numFmtId="0" fontId="33" fillId="27" borderId="66" xfId="0" applyFont="1" applyFill="1" applyBorder="1" applyProtection="1">
      <alignment vertical="center"/>
    </xf>
    <xf numFmtId="0" fontId="33" fillId="27" borderId="67" xfId="0" applyFont="1" applyFill="1" applyBorder="1" applyProtection="1">
      <alignment vertical="center"/>
    </xf>
    <xf numFmtId="0" fontId="33" fillId="27" borderId="59" xfId="0" applyFont="1" applyFill="1" applyBorder="1" applyProtection="1">
      <alignment vertical="center"/>
    </xf>
    <xf numFmtId="0" fontId="125" fillId="27" borderId="60" xfId="44" applyFont="1" applyFill="1" applyBorder="1" applyAlignment="1" applyProtection="1">
      <alignment vertical="center"/>
    </xf>
    <xf numFmtId="0" fontId="33" fillId="27" borderId="60" xfId="0" applyFont="1" applyFill="1" applyBorder="1" applyProtection="1">
      <alignment vertical="center"/>
    </xf>
    <xf numFmtId="0" fontId="33" fillId="27" borderId="60" xfId="44" applyFont="1" applyFill="1" applyBorder="1" applyAlignment="1" applyProtection="1">
      <alignment horizontal="right"/>
    </xf>
    <xf numFmtId="0" fontId="33" fillId="27" borderId="60" xfId="44" applyFont="1" applyFill="1" applyBorder="1" applyAlignment="1" applyProtection="1"/>
    <xf numFmtId="0" fontId="33" fillId="27" borderId="61" xfId="44" applyFont="1" applyFill="1" applyBorder="1" applyAlignment="1" applyProtection="1">
      <alignment horizontal="right"/>
    </xf>
    <xf numFmtId="0" fontId="33" fillId="27" borderId="10" xfId="0" applyFont="1" applyFill="1" applyBorder="1" applyProtection="1">
      <alignment vertical="center"/>
    </xf>
    <xf numFmtId="0" fontId="0" fillId="0" borderId="51" xfId="0" applyBorder="1">
      <alignment vertical="center"/>
    </xf>
    <xf numFmtId="0" fontId="125" fillId="27" borderId="0" xfId="0" applyFont="1" applyFill="1" applyBorder="1" applyAlignment="1" applyProtection="1">
      <alignment horizontal="right" vertical="center"/>
    </xf>
    <xf numFmtId="40" fontId="0" fillId="0" borderId="0" xfId="0" applyNumberFormat="1">
      <alignment vertical="center"/>
    </xf>
    <xf numFmtId="179" fontId="0" fillId="0" borderId="0" xfId="0" applyNumberFormat="1">
      <alignment vertical="center"/>
    </xf>
    <xf numFmtId="38" fontId="33" fillId="27" borderId="0" xfId="0" applyNumberFormat="1" applyFont="1" applyFill="1" applyBorder="1" applyProtection="1">
      <alignment vertical="center"/>
    </xf>
    <xf numFmtId="0" fontId="33" fillId="0" borderId="54" xfId="0" applyFont="1" applyBorder="1">
      <alignment vertical="center"/>
    </xf>
    <xf numFmtId="0" fontId="33" fillId="0" borderId="0" xfId="0" applyFont="1" applyAlignment="1">
      <alignment horizontal="right" vertical="center"/>
    </xf>
    <xf numFmtId="177" fontId="33" fillId="27" borderId="10" xfId="28" applyNumberFormat="1" applyFont="1" applyFill="1" applyBorder="1" applyAlignment="1" applyProtection="1">
      <alignment horizontal="center" vertical="center"/>
    </xf>
    <xf numFmtId="185" fontId="36" fillId="27" borderId="202" xfId="0" applyNumberFormat="1" applyFont="1" applyFill="1" applyBorder="1" applyAlignment="1" applyProtection="1">
      <alignment horizontal="center" vertical="center"/>
      <protection hidden="1"/>
    </xf>
    <xf numFmtId="179" fontId="33" fillId="27" borderId="16" xfId="0" quotePrefix="1" applyNumberFormat="1" applyFont="1" applyFill="1" applyBorder="1" applyAlignment="1">
      <alignment horizontal="center" vertical="center"/>
    </xf>
    <xf numFmtId="179" fontId="33"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6" fillId="27" borderId="13" xfId="0" applyFont="1" applyFill="1" applyBorder="1" applyAlignment="1">
      <alignment horizontal="left" vertical="center"/>
    </xf>
    <xf numFmtId="0" fontId="6" fillId="27" borderId="171" xfId="0" applyFont="1" applyFill="1" applyBorder="1" applyAlignment="1">
      <alignment horizontal="left" vertical="center"/>
    </xf>
    <xf numFmtId="185" fontId="36" fillId="27" borderId="148" xfId="0" applyNumberFormat="1" applyFont="1" applyFill="1" applyBorder="1" applyAlignment="1" applyProtection="1">
      <alignment horizontal="center" vertical="center"/>
      <protection hidden="1"/>
    </xf>
    <xf numFmtId="0" fontId="0" fillId="0" borderId="0" xfId="0">
      <alignment vertical="center"/>
    </xf>
    <xf numFmtId="181" fontId="28" fillId="27" borderId="13" xfId="0" applyNumberFormat="1" applyFont="1" applyFill="1" applyBorder="1" applyAlignment="1" applyProtection="1">
      <alignment horizontal="left" vertical="center"/>
      <protection hidden="1"/>
    </xf>
    <xf numFmtId="0" fontId="27" fillId="49" borderId="0" xfId="0" applyFont="1" applyFill="1" applyBorder="1" applyAlignment="1">
      <alignment horizontal="left" vertical="center"/>
    </xf>
    <xf numFmtId="181" fontId="37" fillId="31" borderId="26" xfId="0" applyNumberFormat="1" applyFont="1" applyFill="1" applyBorder="1" applyAlignment="1" applyProtection="1">
      <alignment horizontal="centerContinuous" vertical="center"/>
      <protection hidden="1"/>
    </xf>
    <xf numFmtId="177" fontId="29" fillId="0" borderId="144" xfId="0" applyNumberFormat="1" applyFont="1" applyFill="1" applyBorder="1" applyAlignment="1" applyProtection="1">
      <alignment horizontal="center" vertical="center"/>
      <protection hidden="1"/>
    </xf>
    <xf numFmtId="0" fontId="33" fillId="0" borderId="0" xfId="0" applyFont="1" applyBorder="1">
      <alignment vertical="center"/>
    </xf>
    <xf numFmtId="0" fontId="125" fillId="0" borderId="0" xfId="0" applyFont="1">
      <alignment vertical="center"/>
    </xf>
    <xf numFmtId="0" fontId="33" fillId="0" borderId="52" xfId="0" applyFont="1" applyBorder="1">
      <alignment vertical="center"/>
    </xf>
    <xf numFmtId="0" fontId="33" fillId="0" borderId="64" xfId="0" applyFont="1" applyBorder="1">
      <alignment vertical="center"/>
    </xf>
    <xf numFmtId="0" fontId="33" fillId="0" borderId="56" xfId="0" applyFont="1" applyBorder="1">
      <alignment vertical="center"/>
    </xf>
    <xf numFmtId="0" fontId="33" fillId="0" borderId="17" xfId="0" applyFont="1" applyBorder="1">
      <alignment vertical="center"/>
    </xf>
    <xf numFmtId="38" fontId="33"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3" fillId="50" borderId="10" xfId="0" applyFont="1" applyFill="1" applyBorder="1">
      <alignment vertical="center"/>
    </xf>
    <xf numFmtId="38" fontId="33" fillId="50" borderId="10" xfId="0" applyNumberFormat="1" applyFont="1" applyFill="1" applyBorder="1">
      <alignment vertical="center"/>
    </xf>
    <xf numFmtId="38" fontId="33" fillId="50" borderId="10" xfId="35" applyNumberFormat="1" applyFont="1" applyFill="1" applyBorder="1">
      <alignment vertical="center"/>
    </xf>
    <xf numFmtId="0" fontId="33" fillId="50" borderId="0" xfId="0" applyFont="1" applyFill="1">
      <alignment vertical="center"/>
    </xf>
    <xf numFmtId="38" fontId="33" fillId="50" borderId="10" xfId="35" applyFont="1" applyFill="1" applyBorder="1">
      <alignment vertical="center"/>
    </xf>
    <xf numFmtId="0" fontId="0" fillId="0" borderId="0" xfId="0">
      <alignment vertical="center"/>
    </xf>
    <xf numFmtId="181" fontId="28" fillId="27" borderId="164" xfId="0" applyNumberFormat="1" applyFont="1" applyFill="1" applyBorder="1" applyAlignment="1" applyProtection="1">
      <alignment horizontal="left" vertical="center"/>
      <protection hidden="1"/>
    </xf>
    <xf numFmtId="181" fontId="28" fillId="27" borderId="12" xfId="0" applyNumberFormat="1" applyFont="1" applyFill="1" applyBorder="1" applyAlignment="1" applyProtection="1">
      <alignment horizontal="left" vertical="center"/>
      <protection hidden="1"/>
    </xf>
    <xf numFmtId="179" fontId="28" fillId="31" borderId="26" xfId="0" applyNumberFormat="1" applyFont="1" applyFill="1" applyBorder="1" applyAlignment="1" applyProtection="1">
      <alignment vertical="center"/>
      <protection hidden="1"/>
    </xf>
    <xf numFmtId="180" fontId="28" fillId="31" borderId="155" xfId="0" applyNumberFormat="1" applyFont="1" applyFill="1" applyBorder="1" applyAlignment="1" applyProtection="1">
      <alignment horizontal="left" vertical="center"/>
      <protection hidden="1"/>
    </xf>
    <xf numFmtId="0" fontId="164" fillId="27" borderId="0" xfId="0" applyFont="1" applyFill="1" applyBorder="1" applyAlignment="1">
      <alignment horizontal="left" vertical="center"/>
    </xf>
    <xf numFmtId="0" fontId="28" fillId="27" borderId="52" xfId="0" applyFont="1" applyFill="1" applyBorder="1" applyAlignment="1" applyProtection="1">
      <alignment horizontal="left" vertical="center"/>
      <protection hidden="1"/>
    </xf>
    <xf numFmtId="0" fontId="28" fillId="27" borderId="53" xfId="0" applyFont="1" applyFill="1" applyBorder="1" applyAlignment="1" applyProtection="1">
      <alignment horizontal="left" vertical="center"/>
      <protection hidden="1"/>
    </xf>
    <xf numFmtId="0" fontId="164" fillId="27" borderId="57" xfId="0" applyFont="1" applyFill="1" applyBorder="1" applyAlignment="1">
      <alignment horizontal="left" vertical="center"/>
    </xf>
    <xf numFmtId="181" fontId="28" fillId="31" borderId="89" xfId="0" applyNumberFormat="1" applyFont="1" applyFill="1" applyBorder="1" applyAlignment="1" applyProtection="1">
      <alignment horizontal="centerContinuous" vertical="center"/>
      <protection hidden="1"/>
    </xf>
    <xf numFmtId="181" fontId="28" fillId="31" borderId="53" xfId="0" applyNumberFormat="1" applyFont="1" applyFill="1" applyBorder="1" applyAlignment="1" applyProtection="1">
      <alignment horizontal="centerContinuous" vertical="top"/>
      <protection hidden="1"/>
    </xf>
    <xf numFmtId="0" fontId="28" fillId="27" borderId="54" xfId="0" applyFont="1" applyFill="1" applyBorder="1" applyAlignment="1" applyProtection="1">
      <alignment horizontal="left" vertical="center"/>
      <protection hidden="1"/>
    </xf>
    <xf numFmtId="176" fontId="28" fillId="27" borderId="64" xfId="0" applyNumberFormat="1" applyFont="1" applyFill="1" applyBorder="1" applyAlignment="1" applyProtection="1">
      <alignment horizontal="left" vertical="center"/>
      <protection hidden="1"/>
    </xf>
    <xf numFmtId="0" fontId="164" fillId="27" borderId="17" xfId="0" applyFont="1" applyFill="1" applyBorder="1" applyAlignment="1">
      <alignment horizontal="left" vertical="center"/>
    </xf>
    <xf numFmtId="176" fontId="28" fillId="27" borderId="56" xfId="0" applyNumberFormat="1" applyFont="1" applyFill="1" applyBorder="1" applyAlignment="1" applyProtection="1">
      <alignment horizontal="left" vertical="center"/>
      <protection hidden="1"/>
    </xf>
    <xf numFmtId="0" fontId="164" fillId="27" borderId="58" xfId="0" applyFont="1" applyFill="1" applyBorder="1" applyAlignment="1">
      <alignment horizontal="left" vertical="center"/>
    </xf>
    <xf numFmtId="2" fontId="33" fillId="0" borderId="0" xfId="0" applyNumberFormat="1" applyFont="1" applyFill="1" applyBorder="1" applyAlignment="1" applyProtection="1">
      <alignment horizontal="center"/>
      <protection hidden="1"/>
    </xf>
    <xf numFmtId="2" fontId="33" fillId="0" borderId="0" xfId="0" applyNumberFormat="1" applyFont="1" applyFill="1" applyBorder="1" applyAlignment="1" applyProtection="1">
      <alignment horizontal="center" vertical="top" shrinkToFit="1"/>
      <protection hidden="1"/>
    </xf>
    <xf numFmtId="40" fontId="33" fillId="0" borderId="0" xfId="35" applyNumberFormat="1" applyFont="1" applyFill="1" applyBorder="1" applyAlignment="1" applyProtection="1">
      <alignment horizontal="center" vertical="top"/>
      <protection hidden="1"/>
    </xf>
    <xf numFmtId="2" fontId="125" fillId="0" borderId="0" xfId="0" applyNumberFormat="1" applyFont="1" applyFill="1" applyBorder="1" applyAlignment="1" applyProtection="1">
      <alignment horizontal="center" vertical="top"/>
      <protection hidden="1"/>
    </xf>
    <xf numFmtId="2" fontId="125" fillId="0" borderId="0" xfId="35" applyNumberFormat="1" applyFont="1" applyFill="1" applyBorder="1" applyAlignment="1" applyProtection="1">
      <alignment horizontal="center" vertical="center"/>
      <protection hidden="1"/>
    </xf>
    <xf numFmtId="2" fontId="125" fillId="0" borderId="0" xfId="35" applyNumberFormat="1" applyFont="1" applyFill="1" applyBorder="1" applyAlignment="1" applyProtection="1">
      <alignment horizontal="center"/>
      <protection hidden="1"/>
    </xf>
    <xf numFmtId="2" fontId="33" fillId="0" borderId="0" xfId="35" applyNumberFormat="1" applyFont="1" applyFill="1" applyBorder="1" applyAlignment="1" applyProtection="1">
      <alignment horizontal="center" vertical="center"/>
      <protection hidden="1"/>
    </xf>
    <xf numFmtId="178" fontId="33" fillId="0" borderId="0" xfId="35" applyNumberFormat="1" applyFont="1" applyFill="1" applyBorder="1" applyAlignment="1" applyProtection="1">
      <alignment horizontal="center" vertical="center"/>
      <protection hidden="1"/>
    </xf>
    <xf numFmtId="178" fontId="125" fillId="0" borderId="0" xfId="35" applyNumberFormat="1" applyFont="1" applyFill="1" applyBorder="1" applyAlignment="1" applyProtection="1">
      <alignment horizontal="center"/>
      <protection hidden="1"/>
    </xf>
    <xf numFmtId="2" fontId="33" fillId="0" borderId="0" xfId="35" applyNumberFormat="1" applyFont="1" applyFill="1" applyBorder="1" applyAlignment="1" applyProtection="1">
      <alignment horizontal="center"/>
      <protection hidden="1"/>
    </xf>
    <xf numFmtId="2" fontId="125" fillId="0" borderId="0" xfId="0" applyNumberFormat="1" applyFont="1" applyFill="1" applyBorder="1" applyAlignment="1" applyProtection="1">
      <alignment horizontal="center"/>
      <protection hidden="1"/>
    </xf>
    <xf numFmtId="0" fontId="6" fillId="0" borderId="0" xfId="0" applyFont="1" applyAlignment="1">
      <alignment horizontal="left" vertical="center"/>
    </xf>
    <xf numFmtId="0" fontId="48" fillId="0" borderId="0" xfId="0" applyFont="1" applyAlignment="1" applyProtection="1">
      <alignment horizontal="left" vertical="center"/>
    </xf>
    <xf numFmtId="0" fontId="150" fillId="0" borderId="0" xfId="0" applyFont="1" applyFill="1" applyAlignment="1" applyProtection="1">
      <alignment horizontal="left" vertical="center"/>
    </xf>
    <xf numFmtId="0" fontId="150" fillId="0" borderId="0" xfId="0" applyFont="1" applyFill="1" applyAlignment="1" applyProtection="1">
      <alignment horizontal="left" vertical="center"/>
      <protection hidden="1"/>
    </xf>
    <xf numFmtId="0" fontId="48" fillId="0" borderId="0" xfId="0" quotePrefix="1" applyFont="1" applyAlignment="1" applyProtection="1">
      <alignment horizontal="left" vertical="center"/>
      <protection hidden="1"/>
    </xf>
    <xf numFmtId="0" fontId="150" fillId="0" borderId="0" xfId="0" applyFont="1" applyFill="1" applyAlignment="1">
      <alignment horizontal="left" vertical="center"/>
    </xf>
    <xf numFmtId="0" fontId="46" fillId="0" borderId="0" xfId="0" applyFont="1" applyFill="1" applyAlignment="1">
      <alignment horizontal="left" vertical="center"/>
    </xf>
    <xf numFmtId="0" fontId="164" fillId="0" borderId="0" xfId="0" applyFont="1" applyAlignment="1">
      <alignment horizontal="left" vertical="center"/>
    </xf>
    <xf numFmtId="0" fontId="125" fillId="27" borderId="63" xfId="44" applyFont="1" applyFill="1" applyBorder="1" applyAlignment="1" applyProtection="1">
      <alignment horizontal="center" vertical="center"/>
    </xf>
    <xf numFmtId="0" fontId="33" fillId="0" borderId="0" xfId="0" applyFont="1" applyProtection="1">
      <alignment vertical="center"/>
    </xf>
    <xf numFmtId="0" fontId="28" fillId="27" borderId="0" xfId="44" applyFont="1" applyFill="1" applyBorder="1" applyAlignment="1" applyProtection="1">
      <alignment horizontal="right" vertical="center"/>
    </xf>
    <xf numFmtId="178" fontId="33" fillId="27" borderId="10" xfId="44" applyNumberFormat="1" applyFont="1" applyFill="1" applyBorder="1" applyAlignment="1" applyProtection="1">
      <alignment vertical="center"/>
    </xf>
    <xf numFmtId="178" fontId="33" fillId="27" borderId="26" xfId="44" applyNumberFormat="1" applyFont="1" applyFill="1" applyBorder="1" applyAlignment="1" applyProtection="1">
      <alignment vertical="center"/>
    </xf>
    <xf numFmtId="178" fontId="33" fillId="27" borderId="10" xfId="28" applyNumberFormat="1" applyFont="1" applyFill="1" applyBorder="1" applyAlignment="1" applyProtection="1">
      <alignment horizontal="center" vertical="center"/>
    </xf>
    <xf numFmtId="178" fontId="33" fillId="27" borderId="152" xfId="44" applyNumberFormat="1" applyFont="1" applyFill="1" applyBorder="1" applyAlignment="1" applyProtection="1">
      <alignment vertical="center"/>
    </xf>
    <xf numFmtId="0" fontId="28" fillId="27" borderId="0" xfId="44" applyFont="1" applyFill="1" applyBorder="1" applyAlignment="1" applyProtection="1">
      <alignment horizontal="left" vertical="center"/>
    </xf>
    <xf numFmtId="178" fontId="33" fillId="27" borderId="0" xfId="44" applyNumberFormat="1" applyFont="1" applyFill="1" applyBorder="1" applyAlignment="1" applyProtection="1">
      <alignment vertical="center"/>
    </xf>
    <xf numFmtId="177" fontId="33" fillId="27" borderId="0" xfId="44" applyNumberFormat="1" applyFont="1" applyFill="1" applyBorder="1" applyAlignment="1" applyProtection="1">
      <alignment horizontal="center" vertical="center"/>
    </xf>
    <xf numFmtId="178" fontId="33" fillId="27" borderId="0" xfId="28" applyNumberFormat="1" applyFont="1" applyFill="1" applyBorder="1" applyAlignment="1" applyProtection="1">
      <alignment horizontal="center" vertical="center"/>
    </xf>
    <xf numFmtId="178" fontId="33" fillId="27" borderId="63" xfId="44" applyNumberFormat="1" applyFont="1" applyFill="1" applyBorder="1" applyAlignment="1" applyProtection="1">
      <alignment vertical="center"/>
    </xf>
    <xf numFmtId="0" fontId="33" fillId="27" borderId="10" xfId="44" applyFont="1" applyFill="1" applyBorder="1" applyAlignment="1" applyProtection="1">
      <alignment vertical="center"/>
    </xf>
    <xf numFmtId="0" fontId="33" fillId="27" borderId="0" xfId="44" applyFont="1" applyFill="1" applyBorder="1" applyAlignment="1" applyProtection="1">
      <alignment horizontal="center" vertical="center"/>
    </xf>
    <xf numFmtId="182" fontId="33" fillId="27" borderId="0" xfId="44" applyNumberFormat="1" applyFont="1" applyFill="1" applyBorder="1" applyAlignment="1" applyProtection="1">
      <alignment horizontal="center" vertical="center"/>
    </xf>
    <xf numFmtId="0" fontId="33" fillId="27" borderId="63" xfId="44" applyFont="1" applyFill="1" applyBorder="1" applyAlignment="1" applyProtection="1">
      <alignment vertical="center"/>
    </xf>
    <xf numFmtId="0" fontId="125" fillId="27" borderId="62" xfId="0" applyFont="1" applyFill="1" applyBorder="1" applyProtection="1">
      <alignment vertical="center"/>
    </xf>
    <xf numFmtId="9" fontId="33" fillId="27" borderId="10" xfId="0" applyNumberFormat="1" applyFont="1" applyFill="1" applyBorder="1" applyProtection="1">
      <alignment vertical="center"/>
    </xf>
    <xf numFmtId="9" fontId="33" fillId="27" borderId="10" xfId="28" applyFont="1" applyFill="1" applyBorder="1" applyProtection="1">
      <alignment vertical="center"/>
    </xf>
    <xf numFmtId="179" fontId="33" fillId="27" borderId="144" xfId="44" applyNumberFormat="1" applyFont="1" applyFill="1" applyBorder="1" applyAlignment="1" applyProtection="1">
      <alignment horizontal="right" vertical="center"/>
    </xf>
    <xf numFmtId="179" fontId="33" fillId="27" borderId="0" xfId="44" applyNumberFormat="1" applyFont="1" applyFill="1" applyBorder="1" applyAlignment="1" applyProtection="1">
      <alignment horizontal="right" vertical="center"/>
    </xf>
    <xf numFmtId="179" fontId="33" fillId="27" borderId="63" xfId="44" applyNumberFormat="1" applyFont="1" applyFill="1" applyBorder="1" applyAlignment="1" applyProtection="1">
      <alignment horizontal="right" vertical="center"/>
    </xf>
    <xf numFmtId="177" fontId="33" fillId="27" borderId="27" xfId="44" applyNumberFormat="1" applyFont="1" applyFill="1" applyBorder="1" applyAlignment="1" applyProtection="1">
      <alignment horizontal="center" vertical="center"/>
    </xf>
    <xf numFmtId="211" fontId="33" fillId="27" borderId="10" xfId="0" applyNumberFormat="1" applyFont="1" applyFill="1" applyBorder="1" applyProtection="1">
      <alignment vertical="center"/>
    </xf>
    <xf numFmtId="0" fontId="33" fillId="27" borderId="152" xfId="0" applyFont="1" applyFill="1" applyBorder="1" applyProtection="1">
      <alignment vertical="center"/>
    </xf>
    <xf numFmtId="0" fontId="33" fillId="27" borderId="144" xfId="0" applyFont="1" applyFill="1" applyBorder="1" applyAlignment="1" applyProtection="1">
      <alignment horizontal="left" vertical="center"/>
    </xf>
    <xf numFmtId="0" fontId="33" fillId="27" borderId="63" xfId="0" applyFont="1" applyFill="1" applyBorder="1" applyAlignment="1" applyProtection="1">
      <alignment horizontal="left" vertical="center"/>
    </xf>
    <xf numFmtId="0" fontId="33" fillId="27" borderId="62" xfId="44" applyFont="1" applyFill="1" applyBorder="1" applyAlignment="1" applyProtection="1"/>
    <xf numFmtId="0" fontId="33" fillId="27" borderId="0" xfId="44" applyFont="1" applyFill="1" applyBorder="1" applyAlignment="1" applyProtection="1">
      <alignment horizontal="left"/>
    </xf>
    <xf numFmtId="38" fontId="33" fillId="27" borderId="10" xfId="35" applyFont="1" applyFill="1" applyBorder="1" applyAlignment="1" applyProtection="1"/>
    <xf numFmtId="0" fontId="33" fillId="27" borderId="26" xfId="0" applyFont="1" applyFill="1" applyBorder="1" applyProtection="1">
      <alignment vertical="center"/>
    </xf>
    <xf numFmtId="38" fontId="33" fillId="27" borderId="0" xfId="35" applyFont="1" applyFill="1" applyBorder="1" applyAlignment="1" applyProtection="1"/>
    <xf numFmtId="38" fontId="33" fillId="27" borderId="63" xfId="35" applyFont="1" applyFill="1" applyBorder="1" applyAlignment="1" applyProtection="1"/>
    <xf numFmtId="0" fontId="33" fillId="27" borderId="152" xfId="44" applyFont="1" applyFill="1" applyBorder="1" applyAlignment="1" applyProtection="1"/>
    <xf numFmtId="38" fontId="33" fillId="27" borderId="153" xfId="35" applyFont="1" applyFill="1" applyBorder="1" applyAlignment="1" applyProtection="1"/>
    <xf numFmtId="38" fontId="33" fillId="27" borderId="26" xfId="35" applyFont="1" applyFill="1" applyBorder="1" applyAlignment="1" applyProtection="1"/>
    <xf numFmtId="38" fontId="33" fillId="27" borderId="123" xfId="35" applyFont="1" applyFill="1" applyBorder="1" applyAlignment="1" applyProtection="1"/>
    <xf numFmtId="38" fontId="33" fillId="27" borderId="139" xfId="35" applyFont="1" applyFill="1" applyBorder="1" applyAlignment="1" applyProtection="1"/>
    <xf numFmtId="0" fontId="33" fillId="27" borderId="0" xfId="0" applyFont="1" applyFill="1" applyBorder="1" applyAlignment="1" applyProtection="1">
      <alignment horizontal="right"/>
    </xf>
    <xf numFmtId="38" fontId="33" fillId="27" borderId="10" xfId="35" applyFont="1" applyFill="1" applyBorder="1" applyAlignment="1" applyProtection="1">
      <alignment vertical="center"/>
    </xf>
    <xf numFmtId="40" fontId="33" fillId="27" borderId="152" xfId="35" applyNumberFormat="1" applyFont="1" applyFill="1" applyBorder="1" applyAlignment="1" applyProtection="1">
      <alignment vertical="center"/>
    </xf>
    <xf numFmtId="0" fontId="28" fillId="27" borderId="0" xfId="0" applyFont="1" applyFill="1" applyBorder="1" applyAlignment="1" applyProtection="1">
      <alignment horizontal="center" vertical="center"/>
    </xf>
    <xf numFmtId="182" fontId="33" fillId="27" borderId="0" xfId="44" applyNumberFormat="1" applyFont="1" applyFill="1" applyBorder="1" applyAlignment="1" applyProtection="1">
      <alignment horizontal="left" vertical="center"/>
    </xf>
    <xf numFmtId="0" fontId="28" fillId="27" borderId="10" xfId="0" applyFont="1" applyFill="1" applyBorder="1" applyAlignment="1" applyProtection="1">
      <alignment horizontal="center" vertical="center"/>
      <protection locked="0" hidden="1"/>
    </xf>
    <xf numFmtId="0" fontId="0" fillId="0" borderId="0" xfId="0">
      <alignment vertical="center"/>
    </xf>
    <xf numFmtId="182" fontId="63" fillId="37" borderId="60" xfId="0" applyNumberFormat="1" applyFont="1" applyFill="1" applyBorder="1" applyAlignment="1" applyProtection="1">
      <alignment horizontal="left" vertical="center"/>
      <protection hidden="1"/>
    </xf>
    <xf numFmtId="182" fontId="111" fillId="37" borderId="69" xfId="0" applyNumberFormat="1" applyFont="1" applyFill="1" applyBorder="1" applyAlignment="1" applyProtection="1">
      <alignment horizontal="left" vertical="center"/>
      <protection hidden="1"/>
    </xf>
    <xf numFmtId="198" fontId="33" fillId="27" borderId="51" xfId="0" applyNumberFormat="1" applyFont="1" applyFill="1" applyBorder="1" applyAlignment="1" applyProtection="1">
      <alignment horizontal="center" vertical="center"/>
      <protection hidden="1"/>
    </xf>
    <xf numFmtId="185" fontId="15" fillId="27" borderId="100" xfId="0" applyNumberFormat="1" applyFont="1" applyFill="1" applyBorder="1" applyAlignment="1" applyProtection="1">
      <alignment horizontal="center" vertical="top" wrapText="1"/>
      <protection hidden="1"/>
    </xf>
    <xf numFmtId="198" fontId="36" fillId="33" borderId="219" xfId="0" applyNumberFormat="1" applyFont="1" applyFill="1" applyBorder="1" applyAlignment="1" applyProtection="1">
      <alignment horizontal="center" vertical="center"/>
      <protection hidden="1"/>
    </xf>
    <xf numFmtId="185" fontId="64" fillId="33" borderId="134" xfId="0" applyNumberFormat="1" applyFont="1" applyFill="1" applyBorder="1" applyAlignment="1" applyProtection="1">
      <alignment horizontal="center" vertical="center"/>
      <protection hidden="1"/>
    </xf>
    <xf numFmtId="220" fontId="36" fillId="31" borderId="220" xfId="0" applyNumberFormat="1" applyFont="1" applyFill="1" applyBorder="1" applyAlignment="1" applyProtection="1">
      <alignment horizontal="center" vertical="center"/>
      <protection hidden="1"/>
    </xf>
    <xf numFmtId="185" fontId="126" fillId="27" borderId="223" xfId="0" applyNumberFormat="1" applyFont="1" applyFill="1" applyBorder="1" applyAlignment="1" applyProtection="1">
      <alignment horizontal="center" vertical="center"/>
      <protection hidden="1"/>
    </xf>
    <xf numFmtId="2" fontId="28" fillId="0" borderId="10" xfId="0" applyNumberFormat="1" applyFont="1" applyFill="1" applyBorder="1" applyAlignment="1" applyProtection="1">
      <alignment horizontal="center" vertical="justify"/>
      <protection hidden="1"/>
    </xf>
    <xf numFmtId="178" fontId="28" fillId="0" borderId="224" xfId="0" applyNumberFormat="1" applyFont="1" applyFill="1" applyBorder="1" applyAlignment="1" applyProtection="1">
      <alignment horizontal="center" vertical="justify"/>
      <protection hidden="1"/>
    </xf>
    <xf numFmtId="198" fontId="33" fillId="27" borderId="52" xfId="0" applyNumberFormat="1" applyFont="1" applyFill="1" applyBorder="1" applyAlignment="1" applyProtection="1">
      <alignment horizontal="center" vertical="center"/>
      <protection hidden="1"/>
    </xf>
    <xf numFmtId="198" fontId="36" fillId="33" borderId="226" xfId="0" applyNumberFormat="1" applyFont="1" applyFill="1" applyBorder="1" applyAlignment="1" applyProtection="1">
      <alignment horizontal="center" vertical="center"/>
      <protection hidden="1"/>
    </xf>
    <xf numFmtId="220" fontId="36" fillId="31" borderId="227" xfId="0" applyNumberFormat="1" applyFont="1" applyFill="1" applyBorder="1" applyAlignment="1" applyProtection="1">
      <alignment horizontal="center" vertical="center"/>
      <protection hidden="1"/>
    </xf>
    <xf numFmtId="0" fontId="28" fillId="27" borderId="72" xfId="0" applyFont="1" applyFill="1" applyBorder="1" applyAlignment="1" applyProtection="1">
      <alignment horizontal="centerContinuous" vertical="center" shrinkToFit="1"/>
      <protection hidden="1"/>
    </xf>
    <xf numFmtId="0" fontId="6" fillId="27" borderId="75" xfId="0" applyFont="1" applyFill="1" applyBorder="1" applyAlignment="1" applyProtection="1">
      <alignment horizontal="centerContinuous" vertical="center"/>
      <protection hidden="1"/>
    </xf>
    <xf numFmtId="185" fontId="26" fillId="27" borderId="229" xfId="0" applyNumberFormat="1" applyFont="1" applyFill="1" applyBorder="1" applyAlignment="1" applyProtection="1">
      <alignment horizontal="center" vertical="center" wrapText="1"/>
      <protection hidden="1"/>
    </xf>
    <xf numFmtId="185" fontId="85" fillId="27" borderId="140" xfId="0" applyNumberFormat="1" applyFont="1" applyFill="1" applyBorder="1" applyAlignment="1" applyProtection="1">
      <alignment horizontal="center" vertical="center" wrapText="1"/>
      <protection hidden="1"/>
    </xf>
    <xf numFmtId="182" fontId="37" fillId="33" borderId="230" xfId="0" applyNumberFormat="1" applyFont="1" applyFill="1" applyBorder="1" applyAlignment="1" applyProtection="1">
      <alignment horizontal="left"/>
      <protection hidden="1"/>
    </xf>
    <xf numFmtId="198" fontId="102" fillId="33" borderId="231" xfId="0" applyNumberFormat="1" applyFont="1" applyFill="1" applyBorder="1" applyAlignment="1" applyProtection="1">
      <alignment horizontal="center" vertical="center"/>
      <protection hidden="1"/>
    </xf>
    <xf numFmtId="182" fontId="37" fillId="31" borderId="232" xfId="0" applyNumberFormat="1" applyFont="1" applyFill="1" applyBorder="1" applyAlignment="1" applyProtection="1">
      <alignment horizontal="left"/>
      <protection hidden="1"/>
    </xf>
    <xf numFmtId="198" fontId="126" fillId="31" borderId="233" xfId="0" applyNumberFormat="1" applyFont="1" applyFill="1" applyBorder="1" applyAlignment="1" applyProtection="1">
      <alignment horizontal="center" vertical="center"/>
      <protection hidden="1"/>
    </xf>
    <xf numFmtId="185" fontId="36" fillId="27" borderId="234" xfId="0" applyNumberFormat="1" applyFont="1" applyFill="1" applyBorder="1" applyAlignment="1" applyProtection="1">
      <alignment horizontal="center" vertical="center"/>
      <protection hidden="1"/>
    </xf>
    <xf numFmtId="198" fontId="129" fillId="27" borderId="222"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5" fontId="36" fillId="27" borderId="161" xfId="0" applyNumberFormat="1" applyFont="1" applyFill="1" applyBorder="1" applyAlignment="1" applyProtection="1">
      <alignment horizontal="center" vertical="center"/>
      <protection hidden="1"/>
    </xf>
    <xf numFmtId="220" fontId="36" fillId="51" borderId="221" xfId="0" applyNumberFormat="1" applyFont="1" applyFill="1" applyBorder="1" applyAlignment="1" applyProtection="1">
      <alignment horizontal="center" vertical="center"/>
      <protection locked="0"/>
    </xf>
    <xf numFmtId="220" fontId="36" fillId="51" borderId="228" xfId="0" applyNumberFormat="1" applyFont="1" applyFill="1" applyBorder="1" applyAlignment="1" applyProtection="1">
      <alignment horizontal="center" vertical="center"/>
      <protection locked="0"/>
    </xf>
    <xf numFmtId="220" fontId="36" fillId="51" borderId="10" xfId="0" applyNumberFormat="1" applyFont="1" applyFill="1" applyBorder="1" applyAlignment="1" applyProtection="1">
      <alignment horizontal="center" vertical="center"/>
      <protection locked="0"/>
    </xf>
    <xf numFmtId="0" fontId="0" fillId="0" borderId="0" xfId="0">
      <alignment vertical="center"/>
    </xf>
    <xf numFmtId="0" fontId="0" fillId="0" borderId="60" xfId="0" applyBorder="1">
      <alignment vertical="center"/>
    </xf>
    <xf numFmtId="182" fontId="37" fillId="31" borderId="230" xfId="0" applyNumberFormat="1" applyFont="1" applyFill="1" applyBorder="1" applyAlignment="1" applyProtection="1">
      <alignment horizontal="left"/>
      <protection hidden="1"/>
    </xf>
    <xf numFmtId="198" fontId="126" fillId="31" borderId="231" xfId="0" applyNumberFormat="1" applyFont="1" applyFill="1" applyBorder="1" applyAlignment="1" applyProtection="1">
      <alignment horizontal="center" vertical="center"/>
      <protection hidden="1"/>
    </xf>
    <xf numFmtId="0" fontId="23" fillId="27" borderId="62" xfId="0" applyNumberFormat="1" applyFont="1" applyFill="1" applyBorder="1" applyAlignment="1" applyProtection="1">
      <alignment vertical="top"/>
      <protection hidden="1"/>
    </xf>
    <xf numFmtId="0" fontId="85" fillId="27" borderId="0" xfId="0" applyFont="1" applyFill="1" applyBorder="1" applyAlignment="1" applyProtection="1">
      <alignment horizontal="left" vertical="top"/>
      <protection hidden="1"/>
    </xf>
    <xf numFmtId="0" fontId="118" fillId="27" borderId="0" xfId="0" applyFont="1" applyFill="1" applyBorder="1" applyAlignment="1" applyProtection="1">
      <alignment vertical="top"/>
      <protection hidden="1"/>
    </xf>
    <xf numFmtId="0" fontId="119" fillId="27" borderId="0" xfId="0" applyFont="1" applyFill="1" applyBorder="1" applyAlignment="1" applyProtection="1">
      <alignment vertical="top"/>
      <protection hidden="1"/>
    </xf>
    <xf numFmtId="0" fontId="119" fillId="27" borderId="63" xfId="0" applyFont="1" applyFill="1" applyBorder="1" applyAlignment="1" applyProtection="1">
      <alignment vertical="top"/>
      <protection hidden="1"/>
    </xf>
    <xf numFmtId="0" fontId="63" fillId="33" borderId="128" xfId="0" applyNumberFormat="1" applyFont="1" applyFill="1" applyBorder="1" applyAlignment="1" applyProtection="1">
      <alignment vertical="center"/>
      <protection hidden="1"/>
    </xf>
    <xf numFmtId="0" fontId="124" fillId="33" borderId="129" xfId="0" applyNumberFormat="1" applyFont="1" applyFill="1" applyBorder="1" applyAlignment="1" applyProtection="1">
      <alignment horizontal="left" vertical="center"/>
      <protection hidden="1"/>
    </xf>
    <xf numFmtId="184" fontId="123" fillId="33" borderId="129" xfId="0" applyNumberFormat="1" applyFont="1" applyFill="1" applyBorder="1" applyAlignment="1" applyProtection="1">
      <alignment horizontal="center" vertical="center"/>
      <protection hidden="1"/>
    </xf>
    <xf numFmtId="184" fontId="63" fillId="33" borderId="129" xfId="0" applyNumberFormat="1" applyFont="1" applyFill="1" applyBorder="1" applyAlignment="1" applyProtection="1">
      <alignment horizontal="center" vertical="center"/>
      <protection hidden="1"/>
    </xf>
    <xf numFmtId="184" fontId="63" fillId="33" borderId="130" xfId="0" applyNumberFormat="1" applyFont="1" applyFill="1" applyBorder="1" applyAlignment="1" applyProtection="1">
      <alignment horizontal="center" vertical="center"/>
      <protection hidden="1"/>
    </xf>
    <xf numFmtId="0" fontId="125" fillId="27" borderId="53" xfId="0" applyFont="1" applyFill="1" applyBorder="1" applyAlignment="1" applyProtection="1">
      <alignment horizontal="left" vertical="center"/>
      <protection hidden="1"/>
    </xf>
    <xf numFmtId="185" fontId="0" fillId="0" borderId="0" xfId="0" applyNumberFormat="1">
      <alignment vertical="center"/>
    </xf>
    <xf numFmtId="2" fontId="0" fillId="50" borderId="10" xfId="0" applyNumberFormat="1" applyFill="1" applyBorder="1">
      <alignment vertical="center"/>
    </xf>
    <xf numFmtId="182" fontId="28" fillId="27" borderId="178" xfId="0" applyNumberFormat="1" applyFont="1" applyFill="1" applyBorder="1" applyAlignment="1" applyProtection="1">
      <alignment horizontal="center" vertical="center"/>
      <protection hidden="1"/>
    </xf>
    <xf numFmtId="182" fontId="28" fillId="27" borderId="225" xfId="0" applyNumberFormat="1" applyFont="1" applyFill="1" applyBorder="1" applyAlignment="1" applyProtection="1">
      <alignment horizontal="center" vertical="center"/>
      <protection hidden="1"/>
    </xf>
    <xf numFmtId="182" fontId="28" fillId="27" borderId="178" xfId="0"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lignment vertical="center"/>
    </xf>
    <xf numFmtId="197" fontId="125" fillId="52" borderId="10" xfId="35" applyNumberFormat="1" applyFont="1" applyFill="1" applyBorder="1" applyAlignment="1" applyProtection="1">
      <alignment horizontal="center" vertical="center"/>
      <protection hidden="1"/>
    </xf>
    <xf numFmtId="0" fontId="23" fillId="0" borderId="0" xfId="0" applyFont="1">
      <alignment vertical="center"/>
    </xf>
    <xf numFmtId="0" fontId="0" fillId="0" borderId="0" xfId="0">
      <alignment vertical="center"/>
    </xf>
    <xf numFmtId="181" fontId="28" fillId="27" borderId="169" xfId="0" applyNumberFormat="1" applyFont="1" applyFill="1" applyBorder="1" applyAlignment="1" applyProtection="1">
      <alignment horizontal="left" vertical="center"/>
      <protection hidden="1"/>
    </xf>
    <xf numFmtId="195" fontId="45" fillId="27" borderId="50" xfId="0" applyNumberFormat="1" applyFont="1" applyFill="1" applyBorder="1" applyAlignment="1" applyProtection="1">
      <alignment horizontal="center" vertical="center" wrapText="1"/>
      <protection hidden="1"/>
    </xf>
    <xf numFmtId="181" fontId="28" fillId="27" borderId="12" xfId="0" applyNumberFormat="1"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0" fontId="28" fillId="27" borderId="50" xfId="0" applyFont="1" applyFill="1" applyBorder="1" applyAlignment="1" applyProtection="1">
      <alignment horizontal="center" vertical="center"/>
      <protection hidden="1"/>
    </xf>
    <xf numFmtId="0" fontId="6" fillId="27" borderId="177" xfId="0" applyFont="1" applyFill="1" applyBorder="1" applyAlignment="1" applyProtection="1">
      <alignment horizontal="center" vertical="center"/>
      <protection hidden="1"/>
    </xf>
    <xf numFmtId="0" fontId="0" fillId="38" borderId="0" xfId="0" applyFill="1">
      <alignment vertical="center"/>
    </xf>
    <xf numFmtId="0" fontId="6" fillId="27" borderId="10" xfId="0" applyFont="1" applyFill="1" applyBorder="1" applyAlignment="1" applyProtection="1">
      <alignment horizontal="center" vertical="center"/>
      <protection hidden="1"/>
    </xf>
    <xf numFmtId="0" fontId="6" fillId="27" borderId="15" xfId="0" applyFont="1" applyFill="1" applyBorder="1" applyAlignment="1" applyProtection="1">
      <alignment horizontal="center" vertical="center"/>
      <protection hidden="1"/>
    </xf>
    <xf numFmtId="0" fontId="28" fillId="27" borderId="52" xfId="0" applyFont="1" applyFill="1" applyBorder="1" applyProtection="1">
      <alignment vertical="center"/>
      <protection hidden="1"/>
    </xf>
    <xf numFmtId="0" fontId="28" fillId="27" borderId="54" xfId="0" applyFont="1" applyFill="1" applyBorder="1" applyProtection="1">
      <alignment vertical="center"/>
      <protection hidden="1"/>
    </xf>
    <xf numFmtId="0" fontId="28" fillId="27" borderId="56" xfId="0" applyFont="1" applyFill="1" applyBorder="1" applyProtection="1">
      <alignment vertical="center"/>
      <protection hidden="1"/>
    </xf>
    <xf numFmtId="0" fontId="28" fillId="27" borderId="58" xfId="0" applyFont="1" applyFill="1" applyBorder="1" applyProtection="1">
      <alignment vertical="center"/>
      <protection hidden="1"/>
    </xf>
    <xf numFmtId="0" fontId="28" fillId="27" borderId="10" xfId="0" applyFont="1" applyFill="1" applyBorder="1" applyProtection="1">
      <alignment vertical="center"/>
      <protection hidden="1"/>
    </xf>
    <xf numFmtId="0" fontId="28" fillId="27" borderId="50" xfId="0" applyFont="1" applyFill="1" applyBorder="1" applyAlignment="1" applyProtection="1">
      <alignment vertical="center" wrapText="1"/>
      <protection hidden="1"/>
    </xf>
    <xf numFmtId="179" fontId="28" fillId="31" borderId="50" xfId="0" applyNumberFormat="1" applyFont="1" applyFill="1" applyBorder="1" applyAlignment="1" applyProtection="1">
      <alignment horizontal="center" vertical="center"/>
      <protection hidden="1"/>
    </xf>
    <xf numFmtId="181" fontId="28" fillId="31" borderId="52" xfId="0" applyNumberFormat="1" applyFont="1" applyFill="1" applyBorder="1" applyAlignment="1" applyProtection="1">
      <alignment horizontal="center" vertical="center"/>
      <protection hidden="1"/>
    </xf>
    <xf numFmtId="181" fontId="28" fillId="31" borderId="54" xfId="0" applyNumberFormat="1" applyFont="1" applyFill="1" applyBorder="1" applyAlignment="1" applyProtection="1">
      <alignment horizontal="center" vertical="center"/>
      <protection hidden="1"/>
    </xf>
    <xf numFmtId="0" fontId="28" fillId="51" borderId="26" xfId="0" applyFont="1" applyFill="1" applyBorder="1">
      <alignment vertical="center"/>
    </xf>
    <xf numFmtId="0" fontId="28" fillId="51" borderId="50" xfId="0" applyFont="1" applyFill="1" applyBorder="1">
      <alignment vertical="center"/>
    </xf>
    <xf numFmtId="0" fontId="28" fillId="51" borderId="10" xfId="0" applyFont="1" applyFill="1" applyBorder="1" applyAlignment="1">
      <alignment horizontal="center" vertical="center"/>
    </xf>
    <xf numFmtId="0" fontId="28" fillId="0" borderId="0" xfId="0" applyFont="1" applyBorder="1">
      <alignment vertical="center"/>
    </xf>
    <xf numFmtId="0" fontId="28" fillId="0" borderId="0" xfId="0" applyFont="1" applyBorder="1" applyAlignment="1">
      <alignment horizontal="center" vertical="center"/>
    </xf>
    <xf numFmtId="0" fontId="6" fillId="0" borderId="144" xfId="0" applyFont="1" applyBorder="1">
      <alignment vertical="center"/>
    </xf>
    <xf numFmtId="0" fontId="28" fillId="53" borderId="10" xfId="0" applyFont="1" applyFill="1" applyBorder="1">
      <alignment vertical="center"/>
    </xf>
    <xf numFmtId="0" fontId="28" fillId="53" borderId="10" xfId="0" applyFont="1" applyFill="1" applyBorder="1" applyAlignment="1">
      <alignment horizontal="center" vertical="center"/>
    </xf>
    <xf numFmtId="0" fontId="28" fillId="51" borderId="10" xfId="0" applyFont="1" applyFill="1" applyBorder="1">
      <alignment vertical="center"/>
    </xf>
    <xf numFmtId="199" fontId="6" fillId="0" borderId="0" xfId="0" applyNumberFormat="1" applyFont="1">
      <alignment vertical="center"/>
    </xf>
    <xf numFmtId="184" fontId="28" fillId="51" borderId="10" xfId="0" applyNumberFormat="1" applyFont="1" applyFill="1" applyBorder="1" applyAlignment="1">
      <alignment horizontal="center" vertical="center"/>
    </xf>
    <xf numFmtId="0" fontId="33" fillId="0" borderId="50" xfId="0" applyFont="1" applyFill="1" applyBorder="1" applyAlignment="1">
      <alignment vertical="top"/>
    </xf>
    <xf numFmtId="0" fontId="0" fillId="0" borderId="0" xfId="0">
      <alignment vertical="center"/>
    </xf>
    <xf numFmtId="0" fontId="0" fillId="0" borderId="0" xfId="0" applyProtection="1">
      <alignment vertical="center"/>
      <protection hidden="1"/>
    </xf>
    <xf numFmtId="0" fontId="0" fillId="0" borderId="0" xfId="0" applyFont="1" applyProtection="1">
      <alignment vertical="center"/>
      <protection hidden="1"/>
    </xf>
    <xf numFmtId="0" fontId="119" fillId="0" borderId="0" xfId="0" applyFont="1" applyFill="1" applyBorder="1" applyAlignment="1" applyProtection="1">
      <alignment horizontal="center" vertical="center"/>
      <protection hidden="1"/>
    </xf>
    <xf numFmtId="0" fontId="168" fillId="0" borderId="0" xfId="0" applyFont="1" applyFill="1" applyBorder="1" applyAlignment="1" applyProtection="1">
      <alignment horizontal="center" vertical="center"/>
      <protection hidden="1"/>
    </xf>
    <xf numFmtId="0" fontId="0" fillId="0" borderId="0" xfId="0" applyFont="1" applyFill="1" applyProtection="1">
      <alignment vertical="center"/>
      <protection hidden="1"/>
    </xf>
    <xf numFmtId="0" fontId="31" fillId="37" borderId="69" xfId="0" applyNumberFormat="1" applyFont="1" applyFill="1" applyBorder="1" applyAlignment="1" applyProtection="1">
      <alignment horizontal="left" vertical="center"/>
      <protection hidden="1"/>
    </xf>
    <xf numFmtId="0" fontId="32" fillId="37" borderId="68" xfId="0" applyNumberFormat="1" applyFont="1" applyFill="1" applyBorder="1" applyAlignment="1" applyProtection="1">
      <alignment horizontal="left" vertical="center"/>
      <protection hidden="1"/>
    </xf>
    <xf numFmtId="0" fontId="169" fillId="33" borderId="0" xfId="0" applyFont="1" applyFill="1" applyBorder="1" applyProtection="1">
      <alignment vertical="center"/>
      <protection hidden="1"/>
    </xf>
    <xf numFmtId="0" fontId="169" fillId="33" borderId="62" xfId="0" applyFont="1" applyFill="1" applyBorder="1" applyProtection="1">
      <alignment vertical="center"/>
      <protection hidden="1"/>
    </xf>
    <xf numFmtId="0" fontId="125" fillId="31" borderId="102" xfId="0" applyNumberFormat="1" applyFont="1" applyFill="1" applyBorder="1" applyAlignment="1" applyProtection="1">
      <alignment horizontal="center" vertical="center"/>
      <protection hidden="1"/>
    </xf>
    <xf numFmtId="0" fontId="33" fillId="31" borderId="104" xfId="0" applyNumberFormat="1" applyFont="1" applyFill="1" applyBorder="1" applyAlignment="1" applyProtection="1">
      <alignment horizontal="center" vertical="center"/>
      <protection hidden="1"/>
    </xf>
    <xf numFmtId="0" fontId="125" fillId="0" borderId="109" xfId="0" applyNumberFormat="1" applyFont="1" applyFill="1" applyBorder="1" applyAlignment="1" applyProtection="1">
      <alignment horizontal="center" vertical="center"/>
      <protection hidden="1"/>
    </xf>
    <xf numFmtId="0" fontId="33" fillId="0" borderId="223" xfId="0" applyNumberFormat="1" applyFont="1" applyFill="1" applyBorder="1" applyAlignment="1" applyProtection="1">
      <alignment horizontal="center" vertical="center"/>
      <protection hidden="1"/>
    </xf>
    <xf numFmtId="0" fontId="107" fillId="0" borderId="0" xfId="0" quotePrefix="1" applyNumberFormat="1" applyFont="1" applyFill="1" applyBorder="1" applyAlignment="1" applyProtection="1">
      <alignment horizontal="center" vertical="center"/>
      <protection hidden="1"/>
    </xf>
    <xf numFmtId="0" fontId="37" fillId="0" borderId="62" xfId="0" quotePrefix="1" applyNumberFormat="1" applyFont="1" applyFill="1" applyBorder="1" applyAlignment="1" applyProtection="1">
      <alignment horizontal="center" vertical="center"/>
      <protection hidden="1"/>
    </xf>
    <xf numFmtId="0" fontId="107" fillId="0" borderId="50" xfId="0" quotePrefix="1" applyNumberFormat="1" applyFont="1" applyFill="1" applyBorder="1" applyAlignment="1" applyProtection="1">
      <alignment horizontal="center" vertical="center"/>
      <protection hidden="1"/>
    </xf>
    <xf numFmtId="0" fontId="37" fillId="0" borderId="123" xfId="0" quotePrefix="1" applyNumberFormat="1" applyFont="1" applyFill="1" applyBorder="1" applyAlignment="1" applyProtection="1">
      <alignment horizontal="center" vertical="center"/>
      <protection hidden="1"/>
    </xf>
    <xf numFmtId="0" fontId="38" fillId="0" borderId="0" xfId="0" quotePrefix="1" applyNumberFormat="1" applyFont="1" applyFill="1" applyBorder="1" applyAlignment="1" applyProtection="1">
      <alignment horizontal="center" vertical="center"/>
      <protection hidden="1"/>
    </xf>
    <xf numFmtId="0" fontId="111" fillId="0" borderId="62" xfId="0" quotePrefix="1" applyNumberFormat="1" applyFont="1" applyFill="1" applyBorder="1" applyAlignment="1" applyProtection="1">
      <alignment horizontal="center" vertical="center"/>
      <protection hidden="1"/>
    </xf>
    <xf numFmtId="0" fontId="107" fillId="54" borderId="0" xfId="0" quotePrefix="1" applyNumberFormat="1" applyFont="1" applyFill="1" applyBorder="1" applyAlignment="1" applyProtection="1">
      <alignment horizontal="center" vertical="center"/>
      <protection hidden="1"/>
    </xf>
    <xf numFmtId="0" fontId="37" fillId="54" borderId="62" xfId="0" quotePrefix="1" applyNumberFormat="1" applyFont="1" applyFill="1" applyBorder="1" applyAlignment="1" applyProtection="1">
      <alignment horizontal="left" vertical="center"/>
      <protection hidden="1"/>
    </xf>
    <xf numFmtId="0" fontId="28" fillId="0" borderId="0" xfId="0" applyNumberFormat="1" applyFont="1" applyFill="1" applyBorder="1" applyAlignment="1" applyProtection="1">
      <alignment horizontal="left" vertical="center"/>
      <protection hidden="1"/>
    </xf>
    <xf numFmtId="0" fontId="28" fillId="0" borderId="62" xfId="0" applyNumberFormat="1" applyFont="1" applyFill="1" applyBorder="1" applyAlignment="1" applyProtection="1">
      <alignment horizontal="left" vertical="center"/>
      <protection hidden="1"/>
    </xf>
    <xf numFmtId="0" fontId="37" fillId="0" borderId="0" xfId="0" applyFont="1" applyFill="1" applyBorder="1" applyAlignment="1" applyProtection="1">
      <alignment horizontal="center" vertical="center"/>
      <protection hidden="1"/>
    </xf>
    <xf numFmtId="0" fontId="37" fillId="0" borderId="62" xfId="0" applyFont="1" applyFill="1" applyBorder="1" applyAlignment="1" applyProtection="1">
      <alignment horizontal="center" vertical="center"/>
      <protection hidden="1"/>
    </xf>
    <xf numFmtId="0" fontId="6" fillId="31" borderId="129" xfId="0" applyFont="1" applyFill="1" applyBorder="1" applyProtection="1">
      <alignment vertical="center"/>
      <protection hidden="1"/>
    </xf>
    <xf numFmtId="0" fontId="0" fillId="31" borderId="128" xfId="0" applyFont="1" applyFill="1" applyBorder="1" applyProtection="1">
      <alignment vertical="center"/>
      <protection hidden="1"/>
    </xf>
    <xf numFmtId="0" fontId="107" fillId="0" borderId="57" xfId="0" quotePrefix="1" applyNumberFormat="1" applyFont="1" applyFill="1" applyBorder="1" applyAlignment="1" applyProtection="1">
      <alignment horizontal="center" vertical="center"/>
      <protection hidden="1"/>
    </xf>
    <xf numFmtId="0" fontId="37" fillId="0" borderId="77" xfId="0" quotePrefix="1" applyNumberFormat="1" applyFont="1" applyFill="1" applyBorder="1" applyAlignment="1" applyProtection="1">
      <alignment horizontal="center" vertical="center"/>
      <protection hidden="1"/>
    </xf>
    <xf numFmtId="0" fontId="107" fillId="0" borderId="53" xfId="0" quotePrefix="1" applyNumberFormat="1" applyFont="1" applyFill="1" applyBorder="1" applyAlignment="1" applyProtection="1">
      <alignment horizontal="center" vertical="center"/>
      <protection hidden="1"/>
    </xf>
    <xf numFmtId="0" fontId="37" fillId="0" borderId="89" xfId="0" quotePrefix="1" applyNumberFormat="1" applyFont="1" applyFill="1" applyBorder="1" applyAlignment="1" applyProtection="1">
      <alignment horizontal="center" vertical="center"/>
      <protection hidden="1"/>
    </xf>
    <xf numFmtId="0" fontId="107" fillId="54" borderId="235" xfId="0" quotePrefix="1" applyNumberFormat="1" applyFont="1" applyFill="1" applyBorder="1" applyAlignment="1" applyProtection="1">
      <alignment horizontal="center" vertical="center"/>
      <protection hidden="1"/>
    </xf>
    <xf numFmtId="0" fontId="37" fillId="54" borderId="236" xfId="0" quotePrefix="1" applyNumberFormat="1" applyFont="1" applyFill="1" applyBorder="1" applyAlignment="1" applyProtection="1">
      <alignment horizontal="left" vertical="center"/>
      <protection hidden="1"/>
    </xf>
    <xf numFmtId="0" fontId="37" fillId="54" borderId="237" xfId="0" quotePrefix="1" applyNumberFormat="1" applyFont="1" applyFill="1" applyBorder="1" applyAlignment="1" applyProtection="1">
      <alignment horizontal="left" vertical="center"/>
      <protection hidden="1"/>
    </xf>
    <xf numFmtId="0" fontId="107" fillId="29" borderId="238" xfId="0" quotePrefix="1" applyNumberFormat="1" applyFont="1" applyFill="1" applyBorder="1" applyAlignment="1" applyProtection="1">
      <alignment horizontal="center" vertical="center"/>
      <protection hidden="1"/>
    </xf>
    <xf numFmtId="0" fontId="37" fillId="29" borderId="239" xfId="0" quotePrefix="1" applyNumberFormat="1" applyFont="1" applyFill="1" applyBorder="1" applyAlignment="1" applyProtection="1">
      <alignment horizontal="left" vertical="center"/>
      <protection hidden="1"/>
    </xf>
    <xf numFmtId="0" fontId="125" fillId="31" borderId="129" xfId="0" applyNumberFormat="1" applyFont="1" applyFill="1" applyBorder="1" applyAlignment="1" applyProtection="1">
      <alignment horizontal="center" vertical="center"/>
      <protection hidden="1"/>
    </xf>
    <xf numFmtId="0" fontId="33" fillId="31" borderId="128" xfId="0" applyNumberFormat="1" applyFont="1" applyFill="1" applyBorder="1" applyAlignment="1" applyProtection="1">
      <alignment horizontal="center" vertical="center"/>
      <protection hidden="1"/>
    </xf>
    <xf numFmtId="0" fontId="107" fillId="54" borderId="109" xfId="0" quotePrefix="1" applyNumberFormat="1" applyFont="1" applyFill="1" applyBorder="1" applyAlignment="1" applyProtection="1">
      <alignment horizontal="center" vertical="center"/>
      <protection hidden="1"/>
    </xf>
    <xf numFmtId="0" fontId="37" fillId="54" borderId="223" xfId="0" quotePrefix="1" applyNumberFormat="1" applyFont="1" applyFill="1" applyBorder="1" applyAlignment="1" applyProtection="1">
      <alignment horizontal="left" vertical="center"/>
      <protection hidden="1"/>
    </xf>
    <xf numFmtId="0" fontId="107" fillId="55" borderId="50" xfId="0" quotePrefix="1" applyNumberFormat="1" applyFont="1" applyFill="1" applyBorder="1" applyAlignment="1" applyProtection="1">
      <alignment horizontal="center" vertical="center"/>
      <protection hidden="1"/>
    </xf>
    <xf numFmtId="0" fontId="37" fillId="55" borderId="123" xfId="0" quotePrefix="1" applyNumberFormat="1" applyFont="1" applyFill="1" applyBorder="1" applyAlignment="1" applyProtection="1">
      <alignment horizontal="left" vertical="center" wrapText="1"/>
      <protection hidden="1"/>
    </xf>
    <xf numFmtId="0" fontId="107" fillId="54" borderId="240" xfId="0" quotePrefix="1" applyNumberFormat="1" applyFont="1" applyFill="1" applyBorder="1" applyAlignment="1" applyProtection="1">
      <alignment horizontal="center" vertical="center" wrapText="1"/>
      <protection hidden="1"/>
    </xf>
    <xf numFmtId="0" fontId="37" fillId="54" borderId="241" xfId="0" quotePrefix="1" applyNumberFormat="1" applyFont="1" applyFill="1" applyBorder="1" applyAlignment="1" applyProtection="1">
      <alignment horizontal="left" vertical="center"/>
      <protection hidden="1"/>
    </xf>
    <xf numFmtId="0" fontId="107" fillId="54" borderId="242" xfId="0" quotePrefix="1" applyNumberFormat="1" applyFont="1" applyFill="1" applyBorder="1" applyAlignment="1" applyProtection="1">
      <alignment horizontal="center" vertical="center"/>
      <protection hidden="1"/>
    </xf>
    <xf numFmtId="0" fontId="37" fillId="54" borderId="243" xfId="0" quotePrefix="1" applyNumberFormat="1" applyFont="1" applyFill="1" applyBorder="1" applyAlignment="1" applyProtection="1">
      <alignment horizontal="left" vertical="center"/>
      <protection hidden="1"/>
    </xf>
    <xf numFmtId="0" fontId="119" fillId="0" borderId="0" xfId="0" applyFont="1" applyFill="1" applyBorder="1" applyAlignment="1" applyProtection="1">
      <alignment vertical="center"/>
      <protection hidden="1"/>
    </xf>
    <xf numFmtId="0" fontId="168" fillId="0" borderId="62" xfId="0" applyFont="1" applyFill="1" applyBorder="1" applyAlignment="1" applyProtection="1">
      <alignment vertical="center"/>
      <protection hidden="1"/>
    </xf>
    <xf numFmtId="0" fontId="2" fillId="33" borderId="60" xfId="0" applyFont="1" applyFill="1" applyBorder="1" applyProtection="1">
      <alignment vertical="center"/>
      <protection hidden="1"/>
    </xf>
    <xf numFmtId="0" fontId="2" fillId="33" borderId="59" xfId="0" applyFont="1" applyFill="1" applyBorder="1" applyProtection="1">
      <alignment vertical="center"/>
      <protection hidden="1"/>
    </xf>
    <xf numFmtId="0" fontId="107" fillId="54" borderId="244" xfId="0" quotePrefix="1" applyNumberFormat="1" applyFont="1" applyFill="1" applyBorder="1" applyAlignment="1" applyProtection="1">
      <alignment horizontal="center" vertical="center"/>
      <protection hidden="1"/>
    </xf>
    <xf numFmtId="0" fontId="37" fillId="54" borderId="245" xfId="0" quotePrefix="1" applyNumberFormat="1" applyFont="1" applyFill="1" applyBorder="1" applyAlignment="1" applyProtection="1">
      <alignment horizontal="left" vertical="center"/>
      <protection hidden="1"/>
    </xf>
    <xf numFmtId="0" fontId="107" fillId="54" borderId="246" xfId="0" quotePrefix="1" applyNumberFormat="1" applyFont="1" applyFill="1" applyBorder="1" applyAlignment="1" applyProtection="1">
      <alignment horizontal="center" vertical="center"/>
      <protection hidden="1"/>
    </xf>
    <xf numFmtId="0" fontId="37" fillId="54" borderId="247" xfId="0" quotePrefix="1" applyNumberFormat="1" applyFont="1" applyFill="1" applyBorder="1" applyAlignment="1" applyProtection="1">
      <alignment horizontal="left" vertical="center"/>
      <protection hidden="1"/>
    </xf>
    <xf numFmtId="0" fontId="37" fillId="54" borderId="62" xfId="0" quotePrefix="1" applyNumberFormat="1" applyFont="1" applyFill="1" applyBorder="1" applyAlignment="1" applyProtection="1">
      <alignment horizontal="left" vertical="center" wrapText="1"/>
      <protection hidden="1"/>
    </xf>
    <xf numFmtId="0" fontId="37" fillId="54" borderId="245" xfId="0" quotePrefix="1" applyNumberFormat="1" applyFont="1" applyFill="1" applyBorder="1" applyAlignment="1" applyProtection="1">
      <alignment horizontal="left" vertical="center" wrapText="1"/>
      <protection hidden="1"/>
    </xf>
    <xf numFmtId="0" fontId="37" fillId="54" borderId="248" xfId="0" quotePrefix="1" applyNumberFormat="1" applyFont="1" applyFill="1" applyBorder="1" applyAlignment="1" applyProtection="1">
      <alignment horizontal="left" vertical="center" wrapText="1"/>
      <protection hidden="1"/>
    </xf>
    <xf numFmtId="0" fontId="107" fillId="54" borderId="249" xfId="0" quotePrefix="1" applyNumberFormat="1" applyFont="1" applyFill="1" applyBorder="1" applyAlignment="1" applyProtection="1">
      <alignment horizontal="center" vertical="center"/>
      <protection hidden="1"/>
    </xf>
    <xf numFmtId="0" fontId="125" fillId="0" borderId="0" xfId="0" applyNumberFormat="1" applyFont="1" applyFill="1" applyBorder="1" applyAlignment="1" applyProtection="1">
      <alignment horizontal="center" vertical="center"/>
      <protection hidden="1"/>
    </xf>
    <xf numFmtId="0" fontId="33" fillId="0" borderId="62" xfId="0" applyNumberFormat="1" applyFont="1" applyFill="1" applyBorder="1" applyAlignment="1" applyProtection="1">
      <alignment horizontal="center" vertical="center"/>
      <protection hidden="1"/>
    </xf>
    <xf numFmtId="0" fontId="37" fillId="0" borderId="80" xfId="0" quotePrefix="1" applyNumberFormat="1" applyFont="1" applyFill="1" applyBorder="1" applyAlignment="1" applyProtection="1">
      <alignment horizontal="center" vertical="center"/>
      <protection hidden="1"/>
    </xf>
    <xf numFmtId="0" fontId="107" fillId="54" borderId="66" xfId="0" quotePrefix="1" applyNumberFormat="1" applyFont="1" applyFill="1" applyBorder="1" applyAlignment="1" applyProtection="1">
      <alignment horizontal="center" vertical="center"/>
      <protection hidden="1"/>
    </xf>
    <xf numFmtId="0" fontId="37" fillId="54" borderId="65" xfId="0" quotePrefix="1" applyNumberFormat="1" applyFont="1" applyFill="1" applyBorder="1" applyAlignment="1" applyProtection="1">
      <alignment horizontal="left" vertical="center"/>
      <protection hidden="1"/>
    </xf>
    <xf numFmtId="0" fontId="107" fillId="29" borderId="0" xfId="0" applyFont="1" applyFill="1" applyBorder="1" applyAlignment="1" applyProtection="1">
      <alignment horizontal="left" vertical="center"/>
      <protection hidden="1"/>
    </xf>
    <xf numFmtId="0" fontId="28" fillId="0" borderId="0" xfId="0" applyNumberFormat="1" applyFont="1" applyProtection="1">
      <alignment vertical="center"/>
      <protection hidden="1"/>
    </xf>
    <xf numFmtId="0" fontId="28" fillId="0" borderId="0" xfId="35" applyNumberFormat="1" applyFont="1" applyFill="1" applyBorder="1" applyAlignment="1" applyProtection="1">
      <alignment vertical="center"/>
      <protection hidden="1"/>
    </xf>
    <xf numFmtId="0" fontId="26" fillId="0" borderId="0" xfId="0" applyNumberFormat="1" applyFont="1" applyFill="1" applyAlignment="1" applyProtection="1">
      <alignment horizontal="left" vertical="center"/>
      <protection hidden="1"/>
    </xf>
    <xf numFmtId="0" fontId="28" fillId="0" borderId="0" xfId="0" applyNumberFormat="1" applyFont="1" applyFill="1" applyAlignment="1" applyProtection="1">
      <alignment vertical="center"/>
      <protection hidden="1"/>
    </xf>
    <xf numFmtId="0" fontId="26" fillId="0" borderId="0" xfId="0" applyNumberFormat="1" applyFont="1" applyFill="1" applyAlignment="1" applyProtection="1">
      <alignment vertical="center"/>
      <protection hidden="1"/>
    </xf>
    <xf numFmtId="0" fontId="28" fillId="38" borderId="0" xfId="0" applyNumberFormat="1" applyFont="1" applyFill="1" applyAlignment="1" applyProtection="1">
      <alignment vertical="center"/>
      <protection hidden="1"/>
    </xf>
    <xf numFmtId="0" fontId="28" fillId="0" borderId="0" xfId="0" applyNumberFormat="1" applyFont="1" applyBorder="1" applyAlignment="1" applyProtection="1">
      <alignment vertical="center"/>
      <protection hidden="1"/>
    </xf>
    <xf numFmtId="0" fontId="28" fillId="31" borderId="52" xfId="0" applyNumberFormat="1" applyFont="1" applyFill="1" applyBorder="1" applyAlignment="1" applyProtection="1">
      <alignment horizontal="left" vertical="center"/>
      <protection hidden="1"/>
    </xf>
    <xf numFmtId="0" fontId="28" fillId="31" borderId="50" xfId="0" applyNumberFormat="1" applyFont="1" applyFill="1" applyBorder="1" applyProtection="1">
      <alignment vertical="center"/>
      <protection hidden="1"/>
    </xf>
    <xf numFmtId="0" fontId="28" fillId="31" borderId="27" xfId="0" applyNumberFormat="1" applyFont="1" applyFill="1" applyBorder="1" applyProtection="1">
      <alignment vertical="center"/>
      <protection hidden="1"/>
    </xf>
    <xf numFmtId="0" fontId="28" fillId="31" borderId="144" xfId="0" applyNumberFormat="1" applyFont="1" applyFill="1" applyBorder="1" applyAlignment="1" applyProtection="1">
      <alignment horizontal="center" vertical="center"/>
      <protection locked="0"/>
    </xf>
    <xf numFmtId="0" fontId="28" fillId="0" borderId="0" xfId="0" applyNumberFormat="1" applyFont="1" applyAlignment="1" applyProtection="1">
      <alignment vertical="center"/>
      <protection hidden="1"/>
    </xf>
    <xf numFmtId="0" fontId="28" fillId="0" borderId="0" xfId="0" applyNumberFormat="1" applyFont="1" applyFill="1" applyBorder="1" applyAlignment="1" applyProtection="1">
      <alignment vertical="center"/>
      <protection hidden="1"/>
    </xf>
    <xf numFmtId="0" fontId="26" fillId="0" borderId="0" xfId="0" applyNumberFormat="1" applyFont="1" applyFill="1" applyBorder="1" applyAlignment="1" applyProtection="1">
      <alignment vertical="center"/>
      <protection hidden="1"/>
    </xf>
    <xf numFmtId="0" fontId="28" fillId="31" borderId="80" xfId="0" applyNumberFormat="1" applyFont="1" applyFill="1" applyBorder="1" applyAlignment="1" applyProtection="1">
      <alignment vertical="center"/>
      <protection hidden="1"/>
    </xf>
    <xf numFmtId="0" fontId="28" fillId="31" borderId="50" xfId="0" applyNumberFormat="1" applyFont="1" applyFill="1" applyBorder="1" applyAlignment="1" applyProtection="1">
      <alignment vertical="center"/>
      <protection hidden="1"/>
    </xf>
    <xf numFmtId="0" fontId="28" fillId="31" borderId="82" xfId="0" applyNumberFormat="1" applyFont="1" applyFill="1" applyBorder="1" applyAlignment="1" applyProtection="1">
      <alignment vertical="center"/>
      <protection hidden="1"/>
    </xf>
    <xf numFmtId="0" fontId="28" fillId="31" borderId="89" xfId="0" applyNumberFormat="1" applyFont="1" applyFill="1" applyBorder="1" applyAlignment="1" applyProtection="1">
      <alignment vertical="center"/>
      <protection hidden="1"/>
    </xf>
    <xf numFmtId="0" fontId="28" fillId="31" borderId="54" xfId="0" applyNumberFormat="1" applyFont="1" applyFill="1" applyBorder="1" applyAlignment="1" applyProtection="1">
      <alignment vertical="center"/>
      <protection hidden="1"/>
    </xf>
    <xf numFmtId="0" fontId="26" fillId="38" borderId="0" xfId="0" applyNumberFormat="1" applyFont="1" applyFill="1" applyAlignment="1" applyProtection="1">
      <alignment vertical="center"/>
      <protection hidden="1"/>
    </xf>
    <xf numFmtId="0" fontId="28" fillId="38" borderId="53" xfId="0" applyNumberFormat="1" applyFont="1" applyFill="1" applyBorder="1" applyAlignment="1" applyProtection="1">
      <alignment vertical="center"/>
      <protection hidden="1"/>
    </xf>
    <xf numFmtId="0" fontId="28" fillId="31" borderId="155" xfId="0" applyNumberFormat="1" applyFont="1" applyFill="1" applyBorder="1" applyAlignment="1" applyProtection="1">
      <alignment vertical="center"/>
      <protection hidden="1"/>
    </xf>
    <xf numFmtId="0" fontId="28" fillId="31" borderId="27" xfId="0" applyNumberFormat="1" applyFont="1" applyFill="1" applyBorder="1" applyAlignment="1" applyProtection="1">
      <alignment vertical="center"/>
      <protection hidden="1"/>
    </xf>
    <xf numFmtId="0" fontId="28" fillId="27" borderId="172" xfId="0" applyNumberFormat="1" applyFont="1" applyFill="1" applyBorder="1" applyAlignment="1" applyProtection="1">
      <alignment horizontal="center" vertical="center"/>
      <protection locked="0"/>
    </xf>
    <xf numFmtId="0" fontId="28" fillId="27" borderId="164" xfId="0" applyNumberFormat="1" applyFont="1" applyFill="1" applyBorder="1" applyAlignment="1" applyProtection="1">
      <alignment horizontal="center" vertical="center" wrapText="1"/>
      <protection hidden="1"/>
    </xf>
    <xf numFmtId="0" fontId="28" fillId="27" borderId="92" xfId="0" applyNumberFormat="1" applyFont="1" applyFill="1" applyBorder="1" applyAlignment="1" applyProtection="1">
      <alignment horizontal="center" vertical="center"/>
      <protection locked="0"/>
    </xf>
    <xf numFmtId="0" fontId="28" fillId="27" borderId="251" xfId="0" applyNumberFormat="1" applyFont="1" applyFill="1" applyBorder="1" applyAlignment="1" applyProtection="1">
      <alignment horizontal="center" vertical="center"/>
      <protection hidden="1"/>
    </xf>
    <xf numFmtId="0" fontId="28" fillId="27" borderId="195" xfId="0" applyNumberFormat="1" applyFont="1" applyFill="1" applyBorder="1" applyAlignment="1" applyProtection="1">
      <alignment vertical="center"/>
      <protection hidden="1"/>
    </xf>
    <xf numFmtId="0" fontId="28" fillId="27" borderId="174" xfId="0" applyNumberFormat="1" applyFont="1" applyFill="1" applyBorder="1" applyAlignment="1" applyProtection="1">
      <alignment horizontal="center" vertical="center"/>
      <protection locked="0"/>
    </xf>
    <xf numFmtId="0" fontId="28" fillId="27" borderId="176" xfId="0" applyNumberFormat="1" applyFont="1" applyFill="1" applyBorder="1" applyAlignment="1" applyProtection="1">
      <alignment horizontal="center" vertical="center" wrapText="1"/>
      <protection hidden="1"/>
    </xf>
    <xf numFmtId="0" fontId="28" fillId="27" borderId="253" xfId="0" applyNumberFormat="1" applyFont="1" applyFill="1" applyBorder="1" applyAlignment="1" applyProtection="1">
      <alignment horizontal="center" vertical="center"/>
      <protection hidden="1"/>
    </xf>
    <xf numFmtId="0" fontId="28" fillId="27" borderId="182" xfId="0" applyNumberFormat="1" applyFont="1" applyFill="1" applyBorder="1" applyAlignment="1" applyProtection="1">
      <alignment vertical="center"/>
      <protection hidden="1"/>
    </xf>
    <xf numFmtId="0" fontId="28" fillId="22" borderId="56" xfId="0" applyNumberFormat="1" applyFont="1" applyFill="1" applyBorder="1" applyAlignment="1" applyProtection="1">
      <alignment vertical="center"/>
      <protection hidden="1"/>
    </xf>
    <xf numFmtId="0" fontId="28" fillId="27" borderId="50" xfId="0" applyNumberFormat="1" applyFont="1" applyFill="1" applyBorder="1" applyAlignment="1" applyProtection="1">
      <alignment vertical="center" wrapText="1"/>
      <protection hidden="1"/>
    </xf>
    <xf numFmtId="0" fontId="26" fillId="27" borderId="50" xfId="0" applyNumberFormat="1" applyFont="1" applyFill="1" applyBorder="1" applyAlignment="1" applyProtection="1">
      <alignment vertical="center" wrapText="1"/>
      <protection hidden="1"/>
    </xf>
    <xf numFmtId="0" fontId="28" fillId="22" borderId="50" xfId="0" applyNumberFormat="1" applyFont="1" applyFill="1" applyBorder="1" applyAlignment="1" applyProtection="1">
      <alignment vertical="center" wrapText="1"/>
      <protection hidden="1"/>
    </xf>
    <xf numFmtId="0" fontId="28" fillId="56" borderId="56" xfId="0" applyNumberFormat="1" applyFont="1" applyFill="1" applyBorder="1" applyAlignment="1" applyProtection="1">
      <alignment vertical="center"/>
      <protection hidden="1"/>
    </xf>
    <xf numFmtId="0" fontId="26" fillId="56" borderId="50" xfId="0" applyNumberFormat="1" applyFont="1" applyFill="1" applyBorder="1" applyAlignment="1" applyProtection="1">
      <alignment vertical="center"/>
      <protection hidden="1"/>
    </xf>
    <xf numFmtId="0" fontId="28" fillId="22" borderId="27" xfId="0" applyNumberFormat="1" applyFont="1" applyFill="1" applyBorder="1" applyAlignment="1" applyProtection="1">
      <alignment vertical="center" wrapText="1"/>
      <protection hidden="1"/>
    </xf>
    <xf numFmtId="0" fontId="28" fillId="27" borderId="68" xfId="0" applyNumberFormat="1" applyFont="1" applyFill="1" applyBorder="1" applyAlignment="1" applyProtection="1">
      <alignment horizontal="center" vertical="center"/>
      <protection locked="0"/>
    </xf>
    <xf numFmtId="0" fontId="28" fillId="51" borderId="68" xfId="0" applyNumberFormat="1" applyFont="1" applyFill="1" applyBorder="1" applyAlignment="1" applyProtection="1">
      <alignment horizontal="centerContinuous" vertical="center"/>
      <protection hidden="1"/>
    </xf>
    <xf numFmtId="0" fontId="28" fillId="51" borderId="69" xfId="0" applyNumberFormat="1" applyFont="1" applyFill="1" applyBorder="1" applyAlignment="1" applyProtection="1">
      <alignment horizontal="centerContinuous" vertical="center"/>
      <protection hidden="1"/>
    </xf>
    <xf numFmtId="0" fontId="28" fillId="51" borderId="71" xfId="0" applyNumberFormat="1" applyFont="1" applyFill="1" applyBorder="1" applyAlignment="1" applyProtection="1">
      <alignment horizontal="centerContinuous" vertical="center"/>
      <protection hidden="1"/>
    </xf>
    <xf numFmtId="0" fontId="28" fillId="0" borderId="0" xfId="0" applyNumberFormat="1" applyFont="1" applyFill="1" applyBorder="1" applyProtection="1">
      <alignment vertical="center"/>
      <protection hidden="1"/>
    </xf>
    <xf numFmtId="0" fontId="26" fillId="0" borderId="0" xfId="0" applyNumberFormat="1" applyFont="1" applyProtection="1">
      <alignment vertical="center"/>
      <protection hidden="1"/>
    </xf>
    <xf numFmtId="0" fontId="28" fillId="31" borderId="144" xfId="0" applyNumberFormat="1" applyFont="1" applyFill="1" applyBorder="1" applyAlignment="1" applyProtection="1">
      <alignment horizontal="center" vertical="center"/>
      <protection hidden="1"/>
    </xf>
    <xf numFmtId="0" fontId="26" fillId="0" borderId="0" xfId="0" applyNumberFormat="1" applyFont="1" applyFill="1" applyProtection="1">
      <alignment vertical="center"/>
      <protection hidden="1"/>
    </xf>
    <xf numFmtId="203" fontId="26" fillId="31" borderId="144" xfId="0" applyNumberFormat="1" applyFont="1" applyFill="1" applyBorder="1" applyAlignment="1" applyProtection="1">
      <alignment horizontal="center" vertical="center"/>
      <protection locked="0"/>
    </xf>
    <xf numFmtId="0" fontId="28" fillId="31" borderId="53" xfId="0" applyNumberFormat="1" applyFont="1" applyFill="1" applyBorder="1" applyAlignment="1" applyProtection="1">
      <alignment horizontal="center" vertical="center"/>
      <protection hidden="1"/>
    </xf>
    <xf numFmtId="0" fontId="28" fillId="31" borderId="54" xfId="0" applyNumberFormat="1" applyFont="1" applyFill="1" applyBorder="1" applyAlignment="1" applyProtection="1">
      <alignment horizontal="center" vertical="center"/>
      <protection hidden="1"/>
    </xf>
    <xf numFmtId="0" fontId="45" fillId="0" borderId="0" xfId="0" applyNumberFormat="1" applyFont="1" applyFill="1" applyBorder="1" applyAlignment="1" applyProtection="1">
      <alignment horizontal="left" vertical="center"/>
      <protection hidden="1"/>
    </xf>
    <xf numFmtId="0" fontId="45" fillId="0" borderId="0" xfId="0" applyNumberFormat="1" applyFont="1" applyFill="1" applyProtection="1">
      <alignment vertical="center"/>
      <protection hidden="1"/>
    </xf>
    <xf numFmtId="0" fontId="28" fillId="0" borderId="0" xfId="0" applyNumberFormat="1" applyFont="1" applyFill="1" applyProtection="1">
      <alignment vertical="center"/>
      <protection hidden="1"/>
    </xf>
    <xf numFmtId="0" fontId="28" fillId="31" borderId="50" xfId="0" applyNumberFormat="1" applyFont="1" applyFill="1" applyBorder="1" applyAlignment="1" applyProtection="1">
      <alignment horizontal="left" vertical="center"/>
      <protection hidden="1"/>
    </xf>
    <xf numFmtId="0" fontId="28" fillId="31" borderId="50" xfId="0" applyNumberFormat="1" applyFont="1" applyFill="1" applyBorder="1" applyAlignment="1" applyProtection="1">
      <alignment horizontal="centerContinuous" vertical="center"/>
      <protection hidden="1"/>
    </xf>
    <xf numFmtId="0" fontId="28" fillId="31" borderId="27" xfId="0" applyNumberFormat="1" applyFont="1" applyFill="1" applyBorder="1" applyAlignment="1" applyProtection="1">
      <alignment horizontal="center" vertical="center"/>
      <protection hidden="1"/>
    </xf>
    <xf numFmtId="0" fontId="26" fillId="27" borderId="167" xfId="0" applyNumberFormat="1" applyFont="1" applyFill="1" applyBorder="1" applyAlignment="1" applyProtection="1">
      <alignment horizontal="center" vertical="center"/>
      <protection hidden="1"/>
    </xf>
    <xf numFmtId="0" fontId="26" fillId="27" borderId="168" xfId="0" applyNumberFormat="1" applyFont="1" applyFill="1" applyBorder="1" applyAlignment="1" applyProtection="1">
      <alignment horizontal="center" vertical="center"/>
      <protection hidden="1"/>
    </xf>
    <xf numFmtId="0" fontId="28" fillId="0" borderId="0" xfId="35" applyNumberFormat="1" applyFont="1" applyFill="1" applyBorder="1" applyAlignment="1" applyProtection="1">
      <alignment horizontal="center" vertical="center"/>
      <protection hidden="1"/>
    </xf>
    <xf numFmtId="0" fontId="26" fillId="0" borderId="0" xfId="0" applyNumberFormat="1" applyFont="1" applyFill="1" applyAlignment="1" applyProtection="1">
      <alignment horizontal="center" vertical="center"/>
      <protection hidden="1"/>
    </xf>
    <xf numFmtId="0" fontId="26" fillId="29" borderId="0" xfId="0" applyNumberFormat="1" applyFont="1" applyFill="1" applyBorder="1" applyAlignment="1" applyProtection="1">
      <alignment vertical="center" wrapText="1"/>
      <protection hidden="1"/>
    </xf>
    <xf numFmtId="0" fontId="28" fillId="31" borderId="172" xfId="0" applyNumberFormat="1" applyFont="1" applyFill="1" applyBorder="1" applyAlignment="1" applyProtection="1">
      <alignment horizontal="center" vertical="center"/>
      <protection hidden="1"/>
    </xf>
    <xf numFmtId="0" fontId="28" fillId="27" borderId="184" xfId="0" applyNumberFormat="1" applyFont="1" applyFill="1" applyBorder="1" applyAlignment="1" applyProtection="1">
      <alignment horizontal="center" vertical="center" wrapText="1"/>
      <protection hidden="1"/>
    </xf>
    <xf numFmtId="0" fontId="28" fillId="31" borderId="174" xfId="0" applyNumberFormat="1" applyFont="1" applyFill="1" applyBorder="1" applyAlignment="1" applyProtection="1">
      <alignment horizontal="center" vertical="center"/>
      <protection hidden="1"/>
    </xf>
    <xf numFmtId="0" fontId="28" fillId="27" borderId="185" xfId="0" applyNumberFormat="1" applyFont="1" applyFill="1" applyBorder="1" applyAlignment="1" applyProtection="1">
      <alignment horizontal="center" vertical="center" wrapText="1"/>
      <protection hidden="1"/>
    </xf>
    <xf numFmtId="0" fontId="28" fillId="27" borderId="56" xfId="0" applyNumberFormat="1" applyFont="1" applyFill="1" applyBorder="1" applyAlignment="1" applyProtection="1">
      <alignment horizontal="center" vertical="center"/>
      <protection hidden="1"/>
    </xf>
    <xf numFmtId="0" fontId="28" fillId="27" borderId="57" xfId="0" applyNumberFormat="1" applyFont="1" applyFill="1" applyBorder="1" applyAlignment="1" applyProtection="1">
      <alignment horizontal="center" vertical="center"/>
      <protection hidden="1"/>
    </xf>
    <xf numFmtId="0" fontId="26" fillId="27" borderId="57" xfId="0" applyNumberFormat="1" applyFont="1" applyFill="1" applyBorder="1" applyAlignment="1" applyProtection="1">
      <alignment horizontal="center" vertical="center" wrapText="1"/>
      <protection hidden="1"/>
    </xf>
    <xf numFmtId="0" fontId="28" fillId="27" borderId="57" xfId="0" applyNumberFormat="1" applyFont="1" applyFill="1" applyBorder="1" applyAlignment="1" applyProtection="1">
      <alignment horizontal="right" vertical="center" wrapText="1"/>
      <protection hidden="1"/>
    </xf>
    <xf numFmtId="0" fontId="26" fillId="27" borderId="57" xfId="0" applyNumberFormat="1" applyFont="1" applyFill="1" applyBorder="1" applyAlignment="1" applyProtection="1">
      <alignment vertical="center" wrapText="1"/>
      <protection hidden="1"/>
    </xf>
    <xf numFmtId="0" fontId="28" fillId="22" borderId="58" xfId="0" applyNumberFormat="1" applyFont="1" applyFill="1" applyBorder="1" applyAlignment="1" applyProtection="1">
      <alignment vertical="center" wrapText="1"/>
      <protection hidden="1"/>
    </xf>
    <xf numFmtId="0" fontId="28" fillId="0" borderId="0" xfId="0" applyNumberFormat="1" applyFont="1" applyFill="1" applyAlignment="1" applyProtection="1">
      <alignment horizontal="left" vertical="center"/>
      <protection hidden="1"/>
    </xf>
    <xf numFmtId="0" fontId="26" fillId="0" borderId="53" xfId="0" applyNumberFormat="1" applyFont="1" applyFill="1" applyBorder="1" applyAlignment="1" applyProtection="1">
      <alignment horizontal="left" vertical="center"/>
      <protection hidden="1"/>
    </xf>
    <xf numFmtId="0" fontId="28" fillId="29" borderId="53" xfId="0" applyNumberFormat="1" applyFont="1" applyFill="1" applyBorder="1" applyAlignment="1" applyProtection="1">
      <alignment horizontal="left" vertical="center" wrapText="1"/>
      <protection hidden="1"/>
    </xf>
    <xf numFmtId="0" fontId="28" fillId="27" borderId="144" xfId="0" applyNumberFormat="1" applyFont="1" applyFill="1" applyBorder="1" applyAlignment="1" applyProtection="1">
      <alignment horizontal="center" vertical="center" wrapText="1"/>
      <protection hidden="1"/>
    </xf>
    <xf numFmtId="0" fontId="28" fillId="31" borderId="172" xfId="0" applyNumberFormat="1" applyFont="1" applyFill="1" applyBorder="1" applyAlignment="1" applyProtection="1">
      <alignment horizontal="center" vertical="center" wrapText="1"/>
      <protection hidden="1"/>
    </xf>
    <xf numFmtId="0" fontId="28" fillId="27" borderId="218" xfId="0" applyNumberFormat="1" applyFont="1" applyFill="1" applyBorder="1" applyAlignment="1" applyProtection="1">
      <alignment horizontal="center" vertical="center" wrapText="1"/>
      <protection hidden="1"/>
    </xf>
    <xf numFmtId="0" fontId="28" fillId="27" borderId="167" xfId="0" applyNumberFormat="1" applyFont="1" applyFill="1" applyBorder="1" applyAlignment="1" applyProtection="1">
      <alignment horizontal="center" vertical="center" wrapText="1"/>
      <protection hidden="1"/>
    </xf>
    <xf numFmtId="0" fontId="28" fillId="31" borderId="173" xfId="0" applyNumberFormat="1" applyFont="1" applyFill="1" applyBorder="1" applyAlignment="1" applyProtection="1">
      <alignment horizontal="center" vertical="center" wrapText="1"/>
      <protection hidden="1"/>
    </xf>
    <xf numFmtId="0" fontId="28" fillId="27" borderId="254" xfId="0" applyNumberFormat="1" applyFont="1" applyFill="1" applyBorder="1" applyAlignment="1" applyProtection="1">
      <alignment horizontal="center" vertical="center" wrapText="1"/>
      <protection hidden="1"/>
    </xf>
    <xf numFmtId="0" fontId="28" fillId="27" borderId="11" xfId="0" applyNumberFormat="1" applyFont="1" applyFill="1" applyBorder="1" applyAlignment="1" applyProtection="1">
      <alignment horizontal="center" vertical="center" wrapText="1"/>
      <protection hidden="1"/>
    </xf>
    <xf numFmtId="0" fontId="28" fillId="31" borderId="174" xfId="0" applyNumberFormat="1" applyFont="1" applyFill="1" applyBorder="1" applyAlignment="1" applyProtection="1">
      <alignment horizontal="center" vertical="center" wrapText="1"/>
      <protection hidden="1"/>
    </xf>
    <xf numFmtId="0" fontId="28" fillId="27" borderId="217" xfId="0" applyNumberFormat="1" applyFont="1" applyFill="1" applyBorder="1" applyAlignment="1" applyProtection="1">
      <alignment horizontal="center" vertical="center" wrapText="1"/>
      <protection hidden="1"/>
    </xf>
    <xf numFmtId="0" fontId="28" fillId="27" borderId="177" xfId="0" applyNumberFormat="1" applyFont="1" applyFill="1" applyBorder="1" applyAlignment="1" applyProtection="1">
      <alignment horizontal="center" vertical="center" wrapText="1"/>
      <protection hidden="1"/>
    </xf>
    <xf numFmtId="0" fontId="26" fillId="27" borderId="56" xfId="0" applyNumberFormat="1" applyFont="1" applyFill="1" applyBorder="1" applyAlignment="1" applyProtection="1">
      <alignment horizontal="center" vertical="center" wrapText="1"/>
      <protection hidden="1"/>
    </xf>
    <xf numFmtId="221" fontId="26" fillId="27" borderId="50" xfId="0" applyNumberFormat="1" applyFont="1" applyFill="1" applyBorder="1" applyAlignment="1" applyProtection="1">
      <alignment horizontal="center" vertical="center" wrapText="1"/>
      <protection hidden="1"/>
    </xf>
    <xf numFmtId="0" fontId="28" fillId="27" borderId="50" xfId="0" applyNumberFormat="1" applyFont="1" applyFill="1" applyBorder="1" applyAlignment="1" applyProtection="1">
      <alignment horizontal="left" vertical="center" wrapText="1"/>
      <protection hidden="1"/>
    </xf>
    <xf numFmtId="0" fontId="28" fillId="27" borderId="27" xfId="0" applyNumberFormat="1" applyFont="1" applyFill="1" applyBorder="1" applyAlignment="1" applyProtection="1">
      <alignment horizontal="left" vertical="center" wrapText="1"/>
      <protection hidden="1"/>
    </xf>
    <xf numFmtId="0" fontId="26" fillId="0" borderId="0" xfId="0" applyNumberFormat="1" applyFont="1" applyAlignment="1" applyProtection="1">
      <alignment vertical="center"/>
      <protection hidden="1"/>
    </xf>
    <xf numFmtId="0" fontId="28" fillId="35" borderId="52" xfId="0" applyNumberFormat="1" applyFont="1" applyFill="1" applyBorder="1" applyAlignment="1" applyProtection="1">
      <alignment vertical="center"/>
      <protection hidden="1"/>
    </xf>
    <xf numFmtId="0" fontId="28" fillId="35" borderId="50" xfId="0" applyNumberFormat="1" applyFont="1" applyFill="1" applyBorder="1" applyAlignment="1" applyProtection="1">
      <alignment vertical="center"/>
      <protection hidden="1"/>
    </xf>
    <xf numFmtId="0" fontId="28" fillId="35" borderId="27" xfId="0" applyNumberFormat="1" applyFont="1" applyFill="1" applyBorder="1" applyAlignment="1" applyProtection="1">
      <alignment vertical="center"/>
      <protection hidden="1"/>
    </xf>
    <xf numFmtId="0" fontId="28" fillId="27" borderId="15" xfId="0" applyNumberFormat="1" applyFont="1" applyFill="1" applyBorder="1" applyAlignment="1" applyProtection="1">
      <alignment horizontal="center" vertical="center" wrapText="1"/>
      <protection hidden="1"/>
    </xf>
    <xf numFmtId="206" fontId="23" fillId="41" borderId="173" xfId="0" applyNumberFormat="1" applyFont="1" applyFill="1" applyBorder="1" applyAlignment="1" applyProtection="1">
      <alignment horizontal="center" vertical="center"/>
      <protection locked="0"/>
    </xf>
    <xf numFmtId="0" fontId="28" fillId="27" borderId="11" xfId="0" applyNumberFormat="1" applyFont="1" applyFill="1" applyBorder="1" applyAlignment="1" applyProtection="1">
      <alignment horizontal="center" vertical="center"/>
      <protection hidden="1"/>
    </xf>
    <xf numFmtId="0" fontId="28" fillId="57" borderId="174" xfId="0" applyNumberFormat="1" applyFont="1" applyFill="1" applyBorder="1" applyAlignment="1" applyProtection="1">
      <alignment horizontal="center" vertical="center"/>
      <protection hidden="1"/>
    </xf>
    <xf numFmtId="0" fontId="28" fillId="27" borderId="53" xfId="0" applyNumberFormat="1" applyFont="1" applyFill="1" applyBorder="1" applyAlignment="1" applyProtection="1">
      <alignment vertical="center"/>
      <protection hidden="1"/>
    </xf>
    <xf numFmtId="0" fontId="28" fillId="27" borderId="165" xfId="0" applyNumberFormat="1" applyFont="1" applyFill="1" applyBorder="1" applyAlignment="1" applyProtection="1">
      <alignment vertical="center"/>
      <protection hidden="1"/>
    </xf>
    <xf numFmtId="0" fontId="28" fillId="27" borderId="166" xfId="0" applyNumberFormat="1" applyFont="1" applyFill="1" applyBorder="1" applyAlignment="1" applyProtection="1">
      <alignment vertical="center"/>
      <protection hidden="1"/>
    </xf>
    <xf numFmtId="0" fontId="28" fillId="31" borderId="172" xfId="0" applyNumberFormat="1" applyFont="1" applyFill="1" applyBorder="1" applyAlignment="1" applyProtection="1">
      <alignment horizontal="center" vertical="center"/>
      <protection locked="0"/>
    </xf>
    <xf numFmtId="0" fontId="28" fillId="35" borderId="52" xfId="0" applyNumberFormat="1" applyFont="1" applyFill="1" applyBorder="1" applyAlignment="1" applyProtection="1">
      <alignment horizontal="centerContinuous" vertical="center"/>
      <protection hidden="1"/>
    </xf>
    <xf numFmtId="0" fontId="28" fillId="35" borderId="50" xfId="0" applyNumberFormat="1" applyFont="1" applyFill="1" applyBorder="1" applyAlignment="1" applyProtection="1">
      <alignment horizontal="centerContinuous" vertical="center"/>
      <protection hidden="1"/>
    </xf>
    <xf numFmtId="0" fontId="28" fillId="35" borderId="27" xfId="0" applyNumberFormat="1" applyFont="1" applyFill="1" applyBorder="1" applyAlignment="1" applyProtection="1">
      <alignment horizontal="centerContinuous" vertical="center"/>
      <protection hidden="1"/>
    </xf>
    <xf numFmtId="0" fontId="36" fillId="27" borderId="0" xfId="0" applyFont="1" applyFill="1" applyBorder="1" applyAlignment="1">
      <alignment horizontal="left" vertical="center"/>
    </xf>
    <xf numFmtId="0" fontId="170" fillId="0" borderId="0" xfId="0" applyFont="1" applyProtection="1">
      <alignment vertical="center"/>
      <protection hidden="1"/>
    </xf>
    <xf numFmtId="0" fontId="170" fillId="0" borderId="0" xfId="0" applyFont="1">
      <alignment vertical="center"/>
    </xf>
    <xf numFmtId="0" fontId="33" fillId="0" borderId="0" xfId="48" applyFont="1" applyProtection="1">
      <alignment vertical="center"/>
      <protection hidden="1"/>
    </xf>
    <xf numFmtId="0" fontId="33" fillId="0" borderId="255" xfId="48" applyFont="1" applyBorder="1" applyProtection="1">
      <alignment vertical="center"/>
      <protection hidden="1"/>
    </xf>
    <xf numFmtId="0" fontId="33" fillId="0" borderId="255" xfId="48" applyFont="1" applyBorder="1" applyAlignment="1" applyProtection="1">
      <alignment vertical="center"/>
      <protection hidden="1"/>
    </xf>
    <xf numFmtId="0" fontId="33" fillId="0" borderId="255" xfId="48" applyFont="1" applyBorder="1" applyAlignment="1" applyProtection="1">
      <alignment horizontal="center" vertical="center"/>
      <protection hidden="1"/>
    </xf>
    <xf numFmtId="0" fontId="33" fillId="0" borderId="0" xfId="48" applyFont="1" applyFill="1" applyAlignment="1" applyProtection="1">
      <alignment horizontal="center" vertical="center"/>
      <protection hidden="1"/>
    </xf>
    <xf numFmtId="0" fontId="33" fillId="0" borderId="0" xfId="48" applyFont="1" applyFill="1" applyAlignment="1" applyProtection="1">
      <alignment horizontal="center" vertical="center"/>
    </xf>
    <xf numFmtId="0" fontId="28" fillId="0" borderId="0" xfId="48" applyFont="1" applyFill="1" applyAlignment="1" applyProtection="1">
      <alignment horizontal="center" vertical="center"/>
      <protection hidden="1"/>
    </xf>
    <xf numFmtId="0" fontId="33" fillId="29" borderId="255" xfId="48" applyFont="1" applyFill="1" applyBorder="1" applyProtection="1">
      <alignment vertical="center"/>
      <protection hidden="1"/>
    </xf>
    <xf numFmtId="0" fontId="171" fillId="29" borderId="255" xfId="0" applyFont="1" applyFill="1" applyBorder="1" applyAlignment="1" applyProtection="1">
      <alignment vertical="center"/>
      <protection hidden="1"/>
    </xf>
    <xf numFmtId="0" fontId="172" fillId="29" borderId="255" xfId="0" applyFont="1" applyFill="1" applyBorder="1" applyAlignment="1" applyProtection="1">
      <alignment vertical="center"/>
      <protection hidden="1"/>
    </xf>
    <xf numFmtId="0" fontId="33" fillId="29" borderId="255" xfId="48" applyFont="1" applyFill="1" applyBorder="1" applyAlignment="1" applyProtection="1">
      <alignment vertical="center"/>
      <protection hidden="1"/>
    </xf>
    <xf numFmtId="0" fontId="33" fillId="29" borderId="255" xfId="48" applyFont="1" applyFill="1" applyBorder="1" applyAlignment="1" applyProtection="1">
      <alignment horizontal="center" vertical="center"/>
      <protection hidden="1"/>
    </xf>
    <xf numFmtId="0" fontId="28" fillId="29" borderId="255" xfId="0" applyFont="1" applyFill="1" applyBorder="1" applyAlignment="1" applyProtection="1">
      <alignment horizontal="right"/>
      <protection hidden="1"/>
    </xf>
    <xf numFmtId="0" fontId="23" fillId="29" borderId="255" xfId="0" applyFont="1" applyFill="1" applyBorder="1" applyAlignment="1" applyProtection="1">
      <alignment horizontal="left" shrinkToFit="1"/>
      <protection hidden="1"/>
    </xf>
    <xf numFmtId="0" fontId="170" fillId="0" borderId="255" xfId="0" applyFont="1" applyBorder="1" applyProtection="1">
      <alignment vertical="center"/>
      <protection hidden="1"/>
    </xf>
    <xf numFmtId="0" fontId="125" fillId="29" borderId="255" xfId="48" applyFont="1" applyFill="1" applyBorder="1" applyAlignment="1" applyProtection="1">
      <alignment horizontal="right" vertical="center"/>
      <protection hidden="1"/>
    </xf>
    <xf numFmtId="0" fontId="33" fillId="29" borderId="0" xfId="48" applyFont="1" applyFill="1" applyProtection="1">
      <alignment vertical="center"/>
      <protection hidden="1"/>
    </xf>
    <xf numFmtId="0" fontId="28" fillId="29" borderId="0" xfId="0" applyFont="1" applyFill="1" applyBorder="1" applyAlignment="1" applyProtection="1">
      <alignment horizontal="right"/>
      <protection hidden="1"/>
    </xf>
    <xf numFmtId="0" fontId="26" fillId="29" borderId="66" xfId="0" applyFont="1" applyFill="1" applyBorder="1" applyAlignment="1" applyProtection="1">
      <alignment horizontal="center" vertical="top" shrinkToFit="1"/>
      <protection hidden="1"/>
    </xf>
    <xf numFmtId="0" fontId="26" fillId="29" borderId="66" xfId="0" applyFont="1" applyFill="1" applyBorder="1" applyAlignment="1" applyProtection="1">
      <alignment vertical="top" shrinkToFit="1"/>
      <protection hidden="1"/>
    </xf>
    <xf numFmtId="0" fontId="63" fillId="30" borderId="59" xfId="0" applyFont="1" applyFill="1" applyBorder="1" applyAlignment="1" applyProtection="1">
      <alignment horizontal="left" vertical="center"/>
      <protection hidden="1"/>
    </xf>
    <xf numFmtId="0" fontId="63" fillId="30" borderId="60" xfId="0" applyFont="1" applyFill="1" applyBorder="1" applyAlignment="1" applyProtection="1">
      <alignment horizontal="left" vertical="center"/>
      <protection hidden="1"/>
    </xf>
    <xf numFmtId="0" fontId="63" fillId="30" borderId="144" xfId="0" applyFont="1" applyFill="1" applyBorder="1" applyAlignment="1" applyProtection="1">
      <alignment horizontal="left" vertical="center"/>
      <protection hidden="1"/>
    </xf>
    <xf numFmtId="0" fontId="63" fillId="30" borderId="61" xfId="0" applyFont="1" applyFill="1" applyBorder="1" applyAlignment="1" applyProtection="1">
      <alignment horizontal="left" vertical="center"/>
      <protection hidden="1"/>
    </xf>
    <xf numFmtId="0" fontId="33" fillId="0" borderId="63" xfId="48" applyFont="1" applyBorder="1" applyProtection="1">
      <alignment vertical="center"/>
      <protection hidden="1"/>
    </xf>
    <xf numFmtId="0" fontId="33" fillId="0" borderId="89" xfId="48" applyFont="1" applyBorder="1" applyProtection="1">
      <alignment vertical="center"/>
      <protection hidden="1"/>
    </xf>
    <xf numFmtId="0" fontId="33" fillId="0" borderId="53" xfId="48" applyFont="1" applyBorder="1" applyProtection="1">
      <alignment vertical="center"/>
      <protection hidden="1"/>
    </xf>
    <xf numFmtId="0" fontId="33" fillId="0" borderId="62" xfId="48" applyFont="1" applyBorder="1" applyProtection="1">
      <alignment vertical="center"/>
      <protection hidden="1"/>
    </xf>
    <xf numFmtId="0" fontId="33" fillId="0" borderId="0" xfId="48" applyFont="1" applyBorder="1" applyProtection="1">
      <alignment vertical="center"/>
      <protection hidden="1"/>
    </xf>
    <xf numFmtId="0" fontId="23" fillId="0" borderId="0" xfId="48" applyFont="1" applyFill="1" applyBorder="1" applyAlignment="1" applyProtection="1">
      <alignment vertical="center"/>
      <protection hidden="1"/>
    </xf>
    <xf numFmtId="0" fontId="28" fillId="0" borderId="0" xfId="48" applyFont="1" applyFill="1" applyBorder="1" applyAlignment="1" applyProtection="1">
      <alignment horizontal="left" vertical="center" indent="2"/>
      <protection hidden="1"/>
    </xf>
    <xf numFmtId="0" fontId="33" fillId="0" borderId="0" xfId="48" applyFont="1" applyFill="1" applyBorder="1" applyProtection="1">
      <alignment vertical="center"/>
      <protection hidden="1"/>
    </xf>
    <xf numFmtId="0" fontId="33" fillId="0" borderId="65" xfId="48" applyFont="1" applyBorder="1" applyProtection="1">
      <alignment vertical="center"/>
      <protection hidden="1"/>
    </xf>
    <xf numFmtId="0" fontId="28" fillId="0" borderId="66" xfId="0" applyFont="1" applyFill="1" applyBorder="1" applyAlignment="1" applyProtection="1">
      <alignment horizontal="left" vertical="center"/>
      <protection hidden="1"/>
    </xf>
    <xf numFmtId="0" fontId="28" fillId="0" borderId="66" xfId="0" applyFont="1" applyFill="1" applyBorder="1" applyAlignment="1" applyProtection="1">
      <alignment horizontal="left" vertical="center" indent="2"/>
      <protection hidden="1"/>
    </xf>
    <xf numFmtId="0" fontId="170" fillId="0" borderId="66" xfId="0" applyFont="1" applyBorder="1" applyProtection="1">
      <alignment vertical="center"/>
      <protection hidden="1"/>
    </xf>
    <xf numFmtId="0" fontId="33" fillId="0" borderId="0" xfId="48" applyFont="1" applyAlignment="1" applyProtection="1">
      <alignment vertical="center"/>
      <protection hidden="1"/>
    </xf>
    <xf numFmtId="0" fontId="33" fillId="0" borderId="0" xfId="48" applyFont="1" applyAlignment="1" applyProtection="1">
      <alignment horizontal="center" vertical="center"/>
      <protection hidden="1"/>
    </xf>
    <xf numFmtId="0" fontId="63" fillId="30" borderId="68" xfId="0" applyFont="1" applyFill="1" applyBorder="1" applyAlignment="1" applyProtection="1">
      <alignment vertical="center"/>
      <protection hidden="1"/>
    </xf>
    <xf numFmtId="0" fontId="63" fillId="30" borderId="69" xfId="0" applyFont="1" applyFill="1" applyBorder="1" applyAlignment="1" applyProtection="1">
      <alignment vertical="center"/>
      <protection hidden="1"/>
    </xf>
    <xf numFmtId="0" fontId="175" fillId="30" borderId="69" xfId="0" applyFont="1" applyFill="1" applyBorder="1" applyAlignment="1" applyProtection="1">
      <alignment horizontal="right" vertical="center"/>
      <protection hidden="1"/>
    </xf>
    <xf numFmtId="0" fontId="175" fillId="30" borderId="69" xfId="0" applyFont="1" applyFill="1" applyBorder="1" applyAlignment="1" applyProtection="1">
      <alignment vertical="center"/>
      <protection hidden="1"/>
    </xf>
    <xf numFmtId="0" fontId="176" fillId="30" borderId="69" xfId="0" applyFont="1" applyFill="1" applyBorder="1" applyAlignment="1" applyProtection="1">
      <alignment vertical="center"/>
      <protection hidden="1"/>
    </xf>
    <xf numFmtId="0" fontId="2" fillId="30" borderId="69" xfId="0" applyFont="1" applyFill="1" applyBorder="1" applyAlignment="1" applyProtection="1">
      <alignment horizontal="right" vertical="center"/>
      <protection hidden="1"/>
    </xf>
    <xf numFmtId="0" fontId="2" fillId="30" borderId="71" xfId="0" applyFont="1" applyFill="1" applyBorder="1" applyAlignment="1" applyProtection="1">
      <alignment horizontal="right" vertical="center"/>
      <protection hidden="1"/>
    </xf>
    <xf numFmtId="0" fontId="4" fillId="35" borderId="77" xfId="0" applyFont="1" applyFill="1" applyBorder="1" applyAlignment="1" applyProtection="1">
      <alignment horizontal="left" vertical="center"/>
      <protection hidden="1"/>
    </xf>
    <xf numFmtId="0" fontId="4" fillId="35" borderId="57" xfId="0" applyFont="1" applyFill="1" applyBorder="1" applyAlignment="1" applyProtection="1">
      <alignment horizontal="left" vertical="center"/>
      <protection hidden="1"/>
    </xf>
    <xf numFmtId="0" fontId="32" fillId="35" borderId="57" xfId="0" applyFont="1" applyFill="1" applyBorder="1" applyAlignment="1" applyProtection="1">
      <alignment horizontal="left" vertical="center"/>
      <protection hidden="1"/>
    </xf>
    <xf numFmtId="0" fontId="4" fillId="35" borderId="56" xfId="0" applyFont="1" applyFill="1" applyBorder="1" applyAlignment="1" applyProtection="1">
      <alignment horizontal="left" vertical="center"/>
      <protection hidden="1"/>
    </xf>
    <xf numFmtId="0" fontId="4" fillId="35" borderId="79" xfId="0" applyFont="1" applyFill="1" applyBorder="1" applyAlignment="1" applyProtection="1">
      <alignment horizontal="left" vertical="center"/>
      <protection hidden="1"/>
    </xf>
    <xf numFmtId="0" fontId="146" fillId="54" borderId="89" xfId="48" applyFont="1" applyFill="1" applyBorder="1" applyProtection="1">
      <alignment vertical="center"/>
      <protection hidden="1"/>
    </xf>
    <xf numFmtId="0" fontId="33" fillId="54" borderId="54" xfId="48" applyFont="1" applyFill="1" applyBorder="1" applyAlignment="1" applyProtection="1">
      <alignment horizontal="right" vertical="center"/>
      <protection hidden="1"/>
    </xf>
    <xf numFmtId="0" fontId="33" fillId="29" borderId="53" xfId="48" applyFont="1" applyFill="1" applyBorder="1" applyProtection="1">
      <alignment vertical="center"/>
      <protection hidden="1"/>
    </xf>
    <xf numFmtId="0" fontId="33" fillId="29" borderId="53" xfId="48" applyFont="1" applyFill="1" applyBorder="1" applyAlignment="1" applyProtection="1">
      <alignment horizontal="center" vertical="center"/>
      <protection hidden="1"/>
    </xf>
    <xf numFmtId="0" fontId="33" fillId="29" borderId="90" xfId="48" applyFont="1" applyFill="1" applyBorder="1" applyAlignment="1" applyProtection="1">
      <alignment horizontal="center" vertical="center"/>
      <protection hidden="1"/>
    </xf>
    <xf numFmtId="0" fontId="125" fillId="0" borderId="0" xfId="48" applyFont="1" applyFill="1" applyBorder="1" applyAlignment="1" applyProtection="1">
      <alignment horizontal="right" vertical="center"/>
      <protection hidden="1"/>
    </xf>
    <xf numFmtId="0" fontId="125" fillId="0" borderId="0" xfId="48" applyFont="1" applyFill="1" applyBorder="1" applyAlignment="1" applyProtection="1">
      <alignment horizontal="right" vertical="center"/>
    </xf>
    <xf numFmtId="192" fontId="28" fillId="54" borderId="144" xfId="48" applyNumberFormat="1" applyFont="1" applyFill="1" applyBorder="1" applyAlignment="1" applyProtection="1">
      <alignment horizontal="center" vertical="center"/>
      <protection hidden="1"/>
    </xf>
    <xf numFmtId="0" fontId="148" fillId="54" borderId="62" xfId="48" applyFont="1" applyFill="1" applyBorder="1" applyProtection="1">
      <alignment vertical="center"/>
      <protection hidden="1"/>
    </xf>
    <xf numFmtId="0" fontId="33" fillId="54" borderId="17" xfId="48" applyFont="1" applyFill="1" applyBorder="1" applyAlignment="1" applyProtection="1">
      <alignment horizontal="right" vertical="center"/>
      <protection hidden="1"/>
    </xf>
    <xf numFmtId="0" fontId="33" fillId="29" borderId="0" xfId="48" applyFont="1" applyFill="1" applyBorder="1" applyProtection="1">
      <alignment vertical="center"/>
      <protection hidden="1"/>
    </xf>
    <xf numFmtId="0" fontId="33" fillId="29" borderId="0" xfId="48" applyFont="1" applyFill="1" applyBorder="1" applyAlignment="1" applyProtection="1">
      <alignment horizontal="center" vertical="center"/>
      <protection hidden="1"/>
    </xf>
    <xf numFmtId="0" fontId="33" fillId="29" borderId="63" xfId="48" applyFont="1" applyFill="1" applyBorder="1" applyAlignment="1" applyProtection="1">
      <alignment horizontal="center" vertical="center"/>
      <protection hidden="1"/>
    </xf>
    <xf numFmtId="0" fontId="33" fillId="0" borderId="0" xfId="48" applyFont="1" applyFill="1" applyBorder="1" applyAlignment="1" applyProtection="1">
      <alignment vertical="center"/>
      <protection hidden="1"/>
    </xf>
    <xf numFmtId="0" fontId="33" fillId="0" borderId="0" xfId="48" applyFont="1" applyFill="1" applyBorder="1" applyAlignment="1" applyProtection="1">
      <alignment vertical="center"/>
    </xf>
    <xf numFmtId="0" fontId="26" fillId="54" borderId="144" xfId="0" applyFont="1" applyFill="1" applyBorder="1" applyAlignment="1" applyProtection="1">
      <alignment horizontal="center" vertical="center"/>
      <protection hidden="1"/>
    </xf>
    <xf numFmtId="0" fontId="148" fillId="54" borderId="77" xfId="48" applyFont="1" applyFill="1" applyBorder="1" applyProtection="1">
      <alignment vertical="center"/>
      <protection hidden="1"/>
    </xf>
    <xf numFmtId="0" fontId="33" fillId="54" borderId="58" xfId="48" applyFont="1" applyFill="1" applyBorder="1" applyAlignment="1" applyProtection="1">
      <alignment horizontal="right" vertical="center"/>
      <protection hidden="1"/>
    </xf>
    <xf numFmtId="0" fontId="33" fillId="29" borderId="57" xfId="48" applyFont="1" applyFill="1" applyBorder="1" applyProtection="1">
      <alignment vertical="center"/>
      <protection hidden="1"/>
    </xf>
    <xf numFmtId="0" fontId="33" fillId="29" borderId="57" xfId="48" applyFont="1" applyFill="1" applyBorder="1" applyAlignment="1" applyProtection="1">
      <alignment horizontal="center" vertical="center"/>
      <protection hidden="1"/>
    </xf>
    <xf numFmtId="0" fontId="33" fillId="29" borderId="79" xfId="48" applyFont="1" applyFill="1" applyBorder="1" applyAlignment="1" applyProtection="1">
      <alignment horizontal="center" vertical="center"/>
      <protection hidden="1"/>
    </xf>
    <xf numFmtId="0" fontId="28" fillId="0" borderId="0" xfId="0" applyFont="1" applyBorder="1" applyProtection="1">
      <alignment vertical="center"/>
      <protection hidden="1"/>
    </xf>
    <xf numFmtId="0" fontId="146" fillId="32" borderId="89" xfId="48" applyFont="1" applyFill="1" applyBorder="1" applyProtection="1">
      <alignment vertical="center"/>
      <protection hidden="1"/>
    </xf>
    <xf numFmtId="0" fontId="33" fillId="32" borderId="54" xfId="48" applyFont="1" applyFill="1" applyBorder="1" applyAlignment="1" applyProtection="1">
      <alignment horizontal="right" vertical="center"/>
      <protection hidden="1"/>
    </xf>
    <xf numFmtId="192" fontId="28" fillId="32" borderId="144" xfId="48" applyNumberFormat="1" applyFont="1" applyFill="1" applyBorder="1" applyAlignment="1" applyProtection="1">
      <alignment horizontal="center" vertical="center"/>
      <protection hidden="1"/>
    </xf>
    <xf numFmtId="0" fontId="148" fillId="32" borderId="62" xfId="48" applyFont="1" applyFill="1" applyBorder="1" applyProtection="1">
      <alignment vertical="center"/>
      <protection hidden="1"/>
    </xf>
    <xf numFmtId="0" fontId="33" fillId="32" borderId="17" xfId="48" applyFont="1" applyFill="1" applyBorder="1" applyAlignment="1" applyProtection="1">
      <alignment horizontal="right" vertical="center"/>
      <protection hidden="1"/>
    </xf>
    <xf numFmtId="0" fontId="26" fillId="32" borderId="144" xfId="0" applyFont="1" applyFill="1" applyBorder="1" applyAlignment="1" applyProtection="1">
      <alignment horizontal="center" vertical="center"/>
      <protection hidden="1"/>
    </xf>
    <xf numFmtId="0" fontId="148" fillId="32" borderId="77" xfId="48" applyFont="1" applyFill="1" applyBorder="1" applyProtection="1">
      <alignment vertical="center"/>
      <protection hidden="1"/>
    </xf>
    <xf numFmtId="0" fontId="33" fillId="32" borderId="58" xfId="48" applyFont="1" applyFill="1" applyBorder="1" applyAlignment="1" applyProtection="1">
      <alignment horizontal="right" vertical="center"/>
      <protection hidden="1"/>
    </xf>
    <xf numFmtId="0" fontId="146" fillId="43" borderId="62" xfId="48" applyFont="1" applyFill="1" applyBorder="1" applyProtection="1">
      <alignment vertical="center"/>
      <protection hidden="1"/>
    </xf>
    <xf numFmtId="0" fontId="33" fillId="43" borderId="17" xfId="48" applyFont="1" applyFill="1" applyBorder="1" applyAlignment="1" applyProtection="1">
      <alignment horizontal="right" vertical="center"/>
      <protection hidden="1"/>
    </xf>
    <xf numFmtId="192" fontId="28" fillId="43" borderId="144" xfId="48" applyNumberFormat="1" applyFont="1" applyFill="1" applyBorder="1" applyAlignment="1" applyProtection="1">
      <alignment horizontal="center" vertical="center"/>
      <protection hidden="1"/>
    </xf>
    <xf numFmtId="0" fontId="148" fillId="43" borderId="62" xfId="48" applyFont="1" applyFill="1" applyBorder="1" applyProtection="1">
      <alignment vertical="center"/>
      <protection hidden="1"/>
    </xf>
    <xf numFmtId="0" fontId="26" fillId="43" borderId="144" xfId="0" applyFont="1" applyFill="1" applyBorder="1" applyAlignment="1" applyProtection="1">
      <alignment horizontal="center" vertical="center"/>
      <protection hidden="1"/>
    </xf>
    <xf numFmtId="0" fontId="148" fillId="43" borderId="65" xfId="48" applyFont="1" applyFill="1" applyBorder="1" applyProtection="1">
      <alignment vertical="center"/>
      <protection hidden="1"/>
    </xf>
    <xf numFmtId="0" fontId="33" fillId="43" borderId="84" xfId="48" applyFont="1" applyFill="1" applyBorder="1" applyAlignment="1" applyProtection="1">
      <alignment horizontal="right" vertical="center"/>
      <protection hidden="1"/>
    </xf>
    <xf numFmtId="0" fontId="33" fillId="29" borderId="66" xfId="48" applyFont="1" applyFill="1" applyBorder="1" applyProtection="1">
      <alignment vertical="center"/>
      <protection hidden="1"/>
    </xf>
    <xf numFmtId="0" fontId="33" fillId="29" borderId="66" xfId="48" applyFont="1" applyFill="1" applyBorder="1" applyAlignment="1" applyProtection="1">
      <alignment horizontal="center" vertical="center"/>
      <protection hidden="1"/>
    </xf>
    <xf numFmtId="0" fontId="33" fillId="29" borderId="67" xfId="48" applyFont="1" applyFill="1" applyBorder="1" applyAlignment="1" applyProtection="1">
      <alignment horizontal="center" vertical="center"/>
      <protection hidden="1"/>
    </xf>
    <xf numFmtId="0" fontId="28" fillId="0" borderId="0" xfId="48" applyFont="1" applyFill="1" applyBorder="1" applyAlignment="1" applyProtection="1">
      <alignment vertical="center"/>
      <protection hidden="1"/>
    </xf>
    <xf numFmtId="0" fontId="33" fillId="29" borderId="0" xfId="48" applyFont="1" applyFill="1" applyBorder="1" applyAlignment="1" applyProtection="1">
      <alignment vertical="center"/>
      <protection hidden="1"/>
    </xf>
    <xf numFmtId="0" fontId="63" fillId="30" borderId="72" xfId="0" applyFont="1" applyFill="1" applyBorder="1" applyAlignment="1" applyProtection="1">
      <alignment vertical="center"/>
      <protection hidden="1"/>
    </xf>
    <xf numFmtId="0" fontId="63" fillId="30" borderId="73" xfId="0" applyFont="1" applyFill="1" applyBorder="1" applyAlignment="1" applyProtection="1">
      <alignment vertical="center"/>
      <protection hidden="1"/>
    </xf>
    <xf numFmtId="0" fontId="32" fillId="30" borderId="73" xfId="0" applyFont="1" applyFill="1" applyBorder="1" applyAlignment="1" applyProtection="1">
      <alignment vertical="center"/>
      <protection hidden="1"/>
    </xf>
    <xf numFmtId="0" fontId="32" fillId="30" borderId="73" xfId="0" applyFont="1" applyFill="1" applyBorder="1" applyAlignment="1" applyProtection="1">
      <alignment horizontal="right" vertical="center"/>
      <protection hidden="1"/>
    </xf>
    <xf numFmtId="0" fontId="87" fillId="30" borderId="73" xfId="0" applyFont="1" applyFill="1" applyBorder="1" applyAlignment="1" applyProtection="1">
      <alignment horizontal="right" vertical="top"/>
      <protection hidden="1"/>
    </xf>
    <xf numFmtId="0" fontId="119" fillId="30" borderId="73" xfId="0" applyFont="1" applyFill="1" applyBorder="1" applyAlignment="1" applyProtection="1">
      <alignment horizontal="center" vertical="center"/>
      <protection hidden="1"/>
    </xf>
    <xf numFmtId="0" fontId="32" fillId="30" borderId="75" xfId="0" applyFont="1" applyFill="1" applyBorder="1" applyAlignment="1" applyProtection="1">
      <alignment vertical="center"/>
      <protection hidden="1"/>
    </xf>
    <xf numFmtId="0" fontId="45" fillId="54" borderId="62" xfId="0" applyFont="1" applyFill="1" applyBorder="1" applyAlignment="1" applyProtection="1">
      <alignment vertical="center"/>
      <protection hidden="1"/>
    </xf>
    <xf numFmtId="0" fontId="45" fillId="54" borderId="57" xfId="0" applyFont="1" applyFill="1" applyBorder="1" applyAlignment="1" applyProtection="1">
      <alignment vertical="center"/>
      <protection hidden="1"/>
    </xf>
    <xf numFmtId="0" fontId="23" fillId="54" borderId="57" xfId="0" applyFont="1" applyFill="1" applyBorder="1" applyAlignment="1" applyProtection="1">
      <alignment horizontal="center" vertical="center"/>
      <protection hidden="1"/>
    </xf>
    <xf numFmtId="0" fontId="45" fillId="54" borderId="57" xfId="0" applyFont="1" applyFill="1" applyBorder="1" applyAlignment="1" applyProtection="1">
      <alignment horizontal="right" vertical="center"/>
      <protection hidden="1"/>
    </xf>
    <xf numFmtId="222" fontId="0" fillId="54" borderId="79" xfId="35" applyNumberFormat="1" applyFont="1" applyFill="1" applyBorder="1" applyAlignment="1" applyProtection="1">
      <alignment horizontal="left" vertical="center"/>
      <protection hidden="1"/>
    </xf>
    <xf numFmtId="0" fontId="23" fillId="54" borderId="118" xfId="0" applyFont="1" applyFill="1" applyBorder="1" applyAlignment="1" applyProtection="1">
      <alignment vertical="center"/>
      <protection hidden="1"/>
    </xf>
    <xf numFmtId="0" fontId="23" fillId="31" borderId="26" xfId="0" applyFont="1" applyFill="1" applyBorder="1" applyAlignment="1" applyProtection="1">
      <alignment vertical="center"/>
      <protection hidden="1"/>
    </xf>
    <xf numFmtId="0" fontId="23" fillId="31" borderId="50" xfId="0" applyFont="1" applyFill="1" applyBorder="1" applyAlignment="1" applyProtection="1">
      <alignment vertical="center"/>
      <protection hidden="1"/>
    </xf>
    <xf numFmtId="0" fontId="23" fillId="31" borderId="50" xfId="0" applyFont="1" applyFill="1" applyBorder="1" applyAlignment="1" applyProtection="1">
      <alignment horizontal="center" vertical="center"/>
      <protection hidden="1"/>
    </xf>
    <xf numFmtId="0" fontId="125" fillId="31" borderId="50" xfId="0" applyFont="1" applyFill="1" applyBorder="1" applyAlignment="1" applyProtection="1">
      <alignment horizontal="right" vertical="center"/>
      <protection hidden="1"/>
    </xf>
    <xf numFmtId="222" fontId="33" fillId="31" borderId="82" xfId="35" applyNumberFormat="1" applyFont="1" applyFill="1" applyBorder="1" applyAlignment="1" applyProtection="1">
      <alignment horizontal="left" vertical="center"/>
      <protection hidden="1"/>
    </xf>
    <xf numFmtId="0" fontId="28" fillId="0" borderId="0" xfId="48" applyFont="1" applyFill="1" applyAlignment="1" applyProtection="1">
      <alignment horizontal="left" vertical="center"/>
      <protection hidden="1"/>
    </xf>
    <xf numFmtId="0" fontId="28" fillId="54" borderId="118" xfId="0" applyFont="1" applyFill="1" applyBorder="1" applyAlignment="1" applyProtection="1">
      <alignment vertical="top"/>
      <protection hidden="1"/>
    </xf>
    <xf numFmtId="0" fontId="26" fillId="0" borderId="0" xfId="0" applyFont="1" applyFill="1" applyBorder="1" applyAlignment="1" applyProtection="1">
      <alignment vertical="top"/>
      <protection hidden="1"/>
    </xf>
    <xf numFmtId="0" fontId="28" fillId="0" borderId="0" xfId="0" applyFont="1" applyFill="1" applyBorder="1" applyAlignment="1" applyProtection="1">
      <alignment vertical="top"/>
      <protection hidden="1"/>
    </xf>
    <xf numFmtId="0" fontId="28" fillId="0" borderId="17" xfId="0" applyFont="1" applyFill="1" applyBorder="1" applyAlignment="1" applyProtection="1">
      <alignment vertical="top"/>
      <protection hidden="1"/>
    </xf>
    <xf numFmtId="0" fontId="26" fillId="0" borderId="64" xfId="0" applyFont="1" applyFill="1" applyBorder="1" applyAlignment="1" applyProtection="1">
      <alignment vertical="top"/>
      <protection hidden="1"/>
    </xf>
    <xf numFmtId="0" fontId="28" fillId="0" borderId="63" xfId="0" applyFont="1" applyFill="1" applyBorder="1" applyAlignment="1" applyProtection="1">
      <alignment vertical="top"/>
      <protection hidden="1"/>
    </xf>
    <xf numFmtId="177" fontId="28" fillId="0" borderId="144" xfId="48" applyNumberFormat="1" applyFont="1" applyFill="1" applyBorder="1" applyAlignment="1" applyProtection="1">
      <alignment horizontal="center" vertical="center"/>
      <protection hidden="1"/>
    </xf>
    <xf numFmtId="0" fontId="0" fillId="0" borderId="63" xfId="0" applyFont="1" applyFill="1" applyBorder="1" applyProtection="1">
      <alignment vertical="center"/>
      <protection hidden="1"/>
    </xf>
    <xf numFmtId="0" fontId="28" fillId="0" borderId="64" xfId="0" applyFont="1" applyFill="1" applyBorder="1" applyAlignment="1" applyProtection="1">
      <alignment vertical="top"/>
      <protection hidden="1"/>
    </xf>
    <xf numFmtId="0" fontId="23" fillId="31" borderId="56" xfId="0" applyFont="1" applyFill="1" applyBorder="1" applyAlignment="1" applyProtection="1">
      <alignment vertical="center"/>
      <protection hidden="1"/>
    </xf>
    <xf numFmtId="0" fontId="23" fillId="31" borderId="57" xfId="0" applyFont="1" applyFill="1" applyBorder="1" applyAlignment="1" applyProtection="1">
      <alignment vertical="center"/>
      <protection hidden="1"/>
    </xf>
    <xf numFmtId="0" fontId="23" fillId="31" borderId="57" xfId="0" applyFont="1" applyFill="1" applyBorder="1" applyAlignment="1" applyProtection="1">
      <alignment horizontal="center" vertical="center"/>
      <protection hidden="1"/>
    </xf>
    <xf numFmtId="0" fontId="125" fillId="31" borderId="57" xfId="0" applyFont="1" applyFill="1" applyBorder="1" applyAlignment="1" applyProtection="1">
      <alignment horizontal="right" vertical="center"/>
      <protection hidden="1"/>
    </xf>
    <xf numFmtId="222" fontId="33" fillId="31" borderId="63" xfId="0" applyNumberFormat="1" applyFont="1" applyFill="1" applyBorder="1" applyAlignment="1" applyProtection="1">
      <alignment horizontal="left" vertical="center"/>
      <protection hidden="1"/>
    </xf>
    <xf numFmtId="0" fontId="28" fillId="0" borderId="0" xfId="48" applyFont="1" applyFill="1" applyBorder="1" applyAlignment="1" applyProtection="1">
      <alignment horizontal="right" vertical="center"/>
      <protection hidden="1"/>
    </xf>
    <xf numFmtId="0" fontId="170" fillId="0" borderId="0" xfId="0" applyFont="1" applyFill="1" applyProtection="1">
      <alignment vertical="center"/>
      <protection hidden="1"/>
    </xf>
    <xf numFmtId="0" fontId="170" fillId="0" borderId="0" xfId="0" applyFont="1" applyBorder="1" applyProtection="1">
      <alignment vertical="center"/>
      <protection hidden="1"/>
    </xf>
    <xf numFmtId="0" fontId="28" fillId="0" borderId="0" xfId="0" applyFont="1" applyAlignment="1" applyProtection="1">
      <alignment horizontal="right" vertical="center"/>
      <protection hidden="1"/>
    </xf>
    <xf numFmtId="0" fontId="23" fillId="31" borderId="57" xfId="0" applyFont="1" applyFill="1" applyBorder="1" applyAlignment="1" applyProtection="1">
      <alignment horizontal="left" vertical="top" wrapText="1"/>
      <protection hidden="1"/>
    </xf>
    <xf numFmtId="0" fontId="28" fillId="31" borderId="57" xfId="0" applyFont="1" applyFill="1" applyBorder="1" applyAlignment="1" applyProtection="1">
      <alignment horizontal="left" vertical="top" wrapText="1"/>
      <protection hidden="1"/>
    </xf>
    <xf numFmtId="222" fontId="0" fillId="31" borderId="63" xfId="0" applyNumberFormat="1" applyFont="1" applyFill="1" applyBorder="1" applyAlignment="1" applyProtection="1">
      <alignment horizontal="left" vertical="center"/>
      <protection hidden="1"/>
    </xf>
    <xf numFmtId="0" fontId="33" fillId="0" borderId="62" xfId="48" applyFont="1" applyFill="1" applyBorder="1" applyAlignment="1" applyProtection="1">
      <alignment horizontal="center" vertical="center"/>
      <protection hidden="1"/>
    </xf>
    <xf numFmtId="0" fontId="33" fillId="0" borderId="0" xfId="48" applyFont="1" applyFill="1" applyBorder="1" applyAlignment="1" applyProtection="1">
      <alignment horizontal="center" vertical="center"/>
    </xf>
    <xf numFmtId="0" fontId="28" fillId="0" borderId="0" xfId="48" applyFont="1" applyFill="1" applyBorder="1" applyAlignment="1" applyProtection="1">
      <alignment horizontal="center" vertical="center"/>
      <protection hidden="1"/>
    </xf>
    <xf numFmtId="0" fontId="28" fillId="0" borderId="0" xfId="0" applyFont="1" applyFill="1" applyBorder="1" applyAlignment="1" applyProtection="1">
      <alignment horizontal="left" vertical="top" wrapText="1"/>
      <protection hidden="1"/>
    </xf>
    <xf numFmtId="0" fontId="28" fillId="0" borderId="0" xfId="0" applyFont="1" applyFill="1" applyBorder="1" applyAlignment="1" applyProtection="1">
      <alignment vertical="top" shrinkToFit="1"/>
      <protection hidden="1"/>
    </xf>
    <xf numFmtId="0" fontId="0" fillId="0" borderId="79" xfId="0" applyFont="1" applyBorder="1" applyProtection="1">
      <alignment vertical="center"/>
      <protection hidden="1"/>
    </xf>
    <xf numFmtId="0" fontId="45" fillId="32" borderId="62" xfId="0" applyFont="1" applyFill="1" applyBorder="1" applyAlignment="1" applyProtection="1">
      <alignment vertical="center"/>
      <protection hidden="1"/>
    </xf>
    <xf numFmtId="0" fontId="45" fillId="32" borderId="50" xfId="0" applyFont="1" applyFill="1" applyBorder="1" applyAlignment="1" applyProtection="1">
      <alignment vertical="center"/>
      <protection hidden="1"/>
    </xf>
    <xf numFmtId="0" fontId="23" fillId="32" borderId="50" xfId="0" applyFont="1" applyFill="1" applyBorder="1" applyAlignment="1" applyProtection="1">
      <alignment horizontal="center" vertical="center"/>
      <protection hidden="1"/>
    </xf>
    <xf numFmtId="0" fontId="45" fillId="32" borderId="50" xfId="0" applyFont="1" applyFill="1" applyBorder="1" applyAlignment="1" applyProtection="1">
      <alignment horizontal="right" vertical="center"/>
      <protection hidden="1"/>
    </xf>
    <xf numFmtId="222" fontId="0" fillId="32" borderId="82" xfId="0" applyNumberFormat="1" applyFont="1" applyFill="1" applyBorder="1" applyAlignment="1" applyProtection="1">
      <alignment horizontal="left" vertical="center"/>
      <protection hidden="1"/>
    </xf>
    <xf numFmtId="0" fontId="23" fillId="32" borderId="118" xfId="0" applyFont="1" applyFill="1" applyBorder="1" applyAlignment="1" applyProtection="1">
      <alignment vertical="center"/>
      <protection hidden="1"/>
    </xf>
    <xf numFmtId="0" fontId="23" fillId="31" borderId="0" xfId="0" applyFont="1" applyFill="1" applyBorder="1" applyAlignment="1" applyProtection="1">
      <alignment vertical="center"/>
      <protection hidden="1"/>
    </xf>
    <xf numFmtId="0" fontId="23" fillId="31" borderId="0" xfId="0" applyFont="1" applyFill="1" applyBorder="1" applyAlignment="1" applyProtection="1">
      <alignment horizontal="center" vertical="center"/>
      <protection hidden="1"/>
    </xf>
    <xf numFmtId="222" fontId="33" fillId="31" borderId="27" xfId="0" applyNumberFormat="1" applyFont="1" applyFill="1" applyBorder="1" applyAlignment="1" applyProtection="1">
      <alignment horizontal="left" vertical="center"/>
      <protection hidden="1"/>
    </xf>
    <xf numFmtId="222" fontId="33" fillId="31" borderId="82" xfId="0" applyNumberFormat="1" applyFont="1" applyFill="1" applyBorder="1" applyAlignment="1" applyProtection="1">
      <alignment horizontal="left" vertical="center"/>
      <protection hidden="1"/>
    </xf>
    <xf numFmtId="0" fontId="28" fillId="32" borderId="118" xfId="0" applyFont="1" applyFill="1" applyBorder="1" applyAlignment="1" applyProtection="1">
      <alignment vertical="top"/>
      <protection hidden="1"/>
    </xf>
    <xf numFmtId="0" fontId="26" fillId="0" borderId="53" xfId="0" applyFont="1" applyFill="1" applyBorder="1" applyAlignment="1" applyProtection="1">
      <alignment vertical="top"/>
      <protection hidden="1"/>
    </xf>
    <xf numFmtId="0" fontId="28" fillId="0" borderId="53" xfId="0" applyFont="1" applyFill="1" applyBorder="1" applyAlignment="1" applyProtection="1">
      <alignment vertical="top"/>
      <protection hidden="1"/>
    </xf>
    <xf numFmtId="0" fontId="28" fillId="0" borderId="0" xfId="0" applyFont="1" applyBorder="1" applyAlignment="1" applyProtection="1">
      <alignment horizontal="right" vertical="center"/>
      <protection hidden="1"/>
    </xf>
    <xf numFmtId="0" fontId="33" fillId="32" borderId="62" xfId="0" applyFont="1" applyFill="1" applyBorder="1" applyAlignment="1" applyProtection="1">
      <alignment vertical="top" wrapText="1"/>
      <protection hidden="1"/>
    </xf>
    <xf numFmtId="222" fontId="33" fillId="31" borderId="79" xfId="0" applyNumberFormat="1" applyFont="1" applyFill="1" applyBorder="1" applyAlignment="1" applyProtection="1">
      <alignment horizontal="left" vertical="center"/>
      <protection hidden="1"/>
    </xf>
    <xf numFmtId="0" fontId="33" fillId="32" borderId="118" xfId="0" applyFont="1" applyFill="1" applyBorder="1" applyAlignment="1" applyProtection="1">
      <alignment vertical="top" wrapText="1"/>
      <protection hidden="1"/>
    </xf>
    <xf numFmtId="0" fontId="33" fillId="32" borderId="120" xfId="0" applyFont="1" applyFill="1" applyBorder="1" applyAlignment="1" applyProtection="1">
      <alignment vertical="top" wrapText="1"/>
      <protection hidden="1"/>
    </xf>
    <xf numFmtId="0" fontId="45" fillId="43" borderId="62" xfId="0" applyFont="1" applyFill="1" applyBorder="1" applyAlignment="1" applyProtection="1">
      <alignment vertical="center"/>
      <protection hidden="1"/>
    </xf>
    <xf numFmtId="0" fontId="45" fillId="43" borderId="57" xfId="0" applyFont="1" applyFill="1" applyBorder="1" applyAlignment="1" applyProtection="1">
      <alignment vertical="center"/>
      <protection hidden="1"/>
    </xf>
    <xf numFmtId="0" fontId="23" fillId="43" borderId="57" xfId="0" applyFont="1" applyFill="1" applyBorder="1" applyAlignment="1" applyProtection="1">
      <alignment horizontal="center" vertical="center"/>
      <protection hidden="1"/>
    </xf>
    <xf numFmtId="0" fontId="45" fillId="43" borderId="57" xfId="0" applyFont="1" applyFill="1" applyBorder="1" applyAlignment="1" applyProtection="1">
      <alignment horizontal="right" vertical="center"/>
      <protection hidden="1"/>
    </xf>
    <xf numFmtId="222" fontId="0" fillId="43" borderId="79" xfId="0" applyNumberFormat="1" applyFont="1" applyFill="1" applyBorder="1" applyAlignment="1" applyProtection="1">
      <alignment horizontal="left" vertical="center"/>
      <protection hidden="1"/>
    </xf>
    <xf numFmtId="0" fontId="45" fillId="43" borderId="118" xfId="0" applyFont="1" applyFill="1" applyBorder="1" applyAlignment="1" applyProtection="1">
      <alignment vertical="center"/>
      <protection hidden="1"/>
    </xf>
    <xf numFmtId="0" fontId="23" fillId="0" borderId="53" xfId="0" applyFont="1" applyFill="1" applyBorder="1" applyAlignment="1" applyProtection="1">
      <alignment horizontal="center" vertical="center"/>
      <protection hidden="1"/>
    </xf>
    <xf numFmtId="0" fontId="23" fillId="0" borderId="0" xfId="0" applyFont="1" applyFill="1" applyBorder="1" applyAlignment="1" applyProtection="1">
      <alignment horizontal="center" vertical="center"/>
      <protection hidden="1"/>
    </xf>
    <xf numFmtId="0" fontId="33" fillId="0" borderId="261" xfId="48" applyFont="1" applyFill="1" applyBorder="1" applyAlignment="1" applyProtection="1">
      <alignment horizontal="center" vertical="center"/>
      <protection hidden="1"/>
    </xf>
    <xf numFmtId="0" fontId="23" fillId="43" borderId="118" xfId="0" applyFont="1" applyFill="1" applyBorder="1" applyAlignment="1" applyProtection="1">
      <alignment vertical="center"/>
      <protection hidden="1"/>
    </xf>
    <xf numFmtId="0" fontId="23" fillId="31" borderId="56" xfId="0" applyFont="1" applyFill="1" applyBorder="1" applyAlignment="1" applyProtection="1">
      <alignment horizontal="left" vertical="center"/>
      <protection hidden="1"/>
    </xf>
    <xf numFmtId="0" fontId="23" fillId="31" borderId="57" xfId="0" applyFont="1" applyFill="1" applyBorder="1" applyAlignment="1" applyProtection="1">
      <alignment horizontal="left" vertical="center"/>
      <protection hidden="1"/>
    </xf>
    <xf numFmtId="0" fontId="125" fillId="31" borderId="0" xfId="0" applyFont="1" applyFill="1" applyBorder="1" applyAlignment="1" applyProtection="1">
      <alignment horizontal="right" vertical="center"/>
      <protection hidden="1"/>
    </xf>
    <xf numFmtId="222" fontId="33" fillId="31" borderId="17" xfId="0" applyNumberFormat="1" applyFont="1" applyFill="1" applyBorder="1" applyAlignment="1" applyProtection="1">
      <alignment horizontal="left" vertical="center"/>
      <protection hidden="1"/>
    </xf>
    <xf numFmtId="0" fontId="33" fillId="0" borderId="0" xfId="48" applyFont="1" applyFill="1" applyBorder="1" applyAlignment="1" applyProtection="1">
      <alignment horizontal="center" vertical="center"/>
      <protection hidden="1"/>
    </xf>
    <xf numFmtId="0" fontId="28" fillId="43" borderId="118" xfId="0" applyFont="1" applyFill="1" applyBorder="1" applyAlignment="1" applyProtection="1">
      <alignment vertical="top"/>
      <protection hidden="1"/>
    </xf>
    <xf numFmtId="0" fontId="33" fillId="0" borderId="0" xfId="48" applyFont="1" applyFill="1" applyProtection="1">
      <alignment vertical="center"/>
      <protection hidden="1"/>
    </xf>
    <xf numFmtId="0" fontId="170" fillId="0" borderId="0" xfId="0" applyFont="1" applyFill="1">
      <alignment vertical="center"/>
    </xf>
    <xf numFmtId="0" fontId="33" fillId="0" borderId="63" xfId="48" applyFont="1" applyFill="1" applyBorder="1" applyProtection="1">
      <alignment vertical="center"/>
      <protection hidden="1"/>
    </xf>
    <xf numFmtId="0" fontId="28" fillId="43" borderId="62" xfId="0" applyFont="1" applyFill="1" applyBorder="1" applyAlignment="1" applyProtection="1">
      <alignment vertical="top"/>
      <protection hidden="1"/>
    </xf>
    <xf numFmtId="0" fontId="33" fillId="43" borderId="62" xfId="0" applyFont="1" applyFill="1" applyBorder="1" applyAlignment="1" applyProtection="1">
      <alignment vertical="top" wrapText="1"/>
      <protection hidden="1"/>
    </xf>
    <xf numFmtId="0" fontId="33" fillId="43" borderId="118" xfId="0" applyFont="1" applyFill="1" applyBorder="1" applyAlignment="1" applyProtection="1">
      <alignment vertical="top" wrapText="1"/>
      <protection hidden="1"/>
    </xf>
    <xf numFmtId="0" fontId="23" fillId="31" borderId="56" xfId="0" applyFont="1" applyFill="1" applyBorder="1" applyAlignment="1" applyProtection="1">
      <alignment horizontal="left" vertical="top" wrapText="1"/>
      <protection hidden="1"/>
    </xf>
    <xf numFmtId="0" fontId="125" fillId="31" borderId="57" xfId="0" applyFont="1" applyFill="1" applyBorder="1" applyAlignment="1" applyProtection="1">
      <alignment horizontal="right" vertical="top" wrapText="1"/>
      <protection hidden="1"/>
    </xf>
    <xf numFmtId="0" fontId="33" fillId="43" borderId="116" xfId="0" applyFont="1" applyFill="1" applyBorder="1" applyAlignment="1" applyProtection="1">
      <alignment vertical="top" wrapText="1"/>
      <protection hidden="1"/>
    </xf>
    <xf numFmtId="0" fontId="33" fillId="0" borderId="0" xfId="0" applyFont="1" applyFill="1" applyBorder="1" applyAlignment="1" applyProtection="1">
      <alignment vertical="top" wrapText="1"/>
      <protection hidden="1"/>
    </xf>
    <xf numFmtId="0" fontId="28" fillId="0" borderId="0" xfId="0" applyFont="1" applyFill="1" applyBorder="1" applyAlignment="1" applyProtection="1">
      <alignment horizontal="center" vertical="top" wrapText="1"/>
      <protection hidden="1"/>
    </xf>
    <xf numFmtId="0" fontId="32" fillId="30" borderId="69" xfId="0" applyFont="1" applyFill="1" applyBorder="1" applyAlignment="1" applyProtection="1">
      <alignment vertical="center"/>
      <protection hidden="1"/>
    </xf>
    <xf numFmtId="0" fontId="32" fillId="30" borderId="69" xfId="0" applyFont="1" applyFill="1" applyBorder="1" applyAlignment="1" applyProtection="1">
      <alignment horizontal="right" vertical="center"/>
      <protection hidden="1"/>
    </xf>
    <xf numFmtId="0" fontId="119" fillId="30" borderId="69" xfId="0" applyFont="1" applyFill="1" applyBorder="1" applyAlignment="1" applyProtection="1">
      <alignment horizontal="center" vertical="center"/>
      <protection hidden="1"/>
    </xf>
    <xf numFmtId="0" fontId="32" fillId="30" borderId="60" xfId="0" applyFont="1" applyFill="1" applyBorder="1" applyAlignment="1" applyProtection="1">
      <alignment vertical="center"/>
      <protection hidden="1"/>
    </xf>
    <xf numFmtId="0" fontId="32" fillId="30" borderId="71" xfId="0" applyFont="1" applyFill="1" applyBorder="1" applyAlignment="1" applyProtection="1">
      <alignment vertical="center"/>
      <protection hidden="1"/>
    </xf>
    <xf numFmtId="0" fontId="28" fillId="0" borderId="0" xfId="0" applyFont="1" applyProtection="1">
      <alignment vertical="center"/>
      <protection locked="0" hidden="1"/>
    </xf>
    <xf numFmtId="0" fontId="37" fillId="25" borderId="15" xfId="0" applyFont="1" applyFill="1" applyBorder="1" applyAlignment="1" applyProtection="1">
      <alignment horizontal="center" vertical="center" wrapText="1"/>
      <protection hidden="1"/>
    </xf>
    <xf numFmtId="0" fontId="28" fillId="0" borderId="0" xfId="0" applyFont="1" applyFill="1" applyProtection="1">
      <alignment vertical="center"/>
      <protection locked="0" hidden="1"/>
    </xf>
    <xf numFmtId="223" fontId="148" fillId="0" borderId="69" xfId="35" applyNumberFormat="1" applyFont="1" applyFill="1" applyBorder="1" applyAlignment="1" applyProtection="1">
      <alignment horizontal="center" vertical="center" wrapText="1"/>
      <protection hidden="1"/>
    </xf>
    <xf numFmtId="223" fontId="148" fillId="0" borderId="71" xfId="35" applyNumberFormat="1" applyFont="1" applyFill="1" applyBorder="1" applyAlignment="1" applyProtection="1">
      <alignment horizontal="center" vertical="center" wrapText="1"/>
      <protection hidden="1"/>
    </xf>
    <xf numFmtId="0" fontId="33" fillId="0" borderId="62" xfId="0" applyFont="1" applyFill="1" applyBorder="1" applyAlignment="1" applyProtection="1">
      <alignment vertical="top" wrapText="1"/>
      <protection hidden="1"/>
    </xf>
    <xf numFmtId="0" fontId="28" fillId="0" borderId="0" xfId="0" applyFont="1" applyFill="1" applyBorder="1" applyAlignment="1" applyProtection="1">
      <alignment horizontal="left" vertical="top"/>
      <protection hidden="1"/>
    </xf>
    <xf numFmtId="0" fontId="28" fillId="0" borderId="0" xfId="0" applyFont="1" applyFill="1" applyBorder="1" applyAlignment="1" applyProtection="1">
      <alignment vertical="top" wrapText="1"/>
      <protection hidden="1"/>
    </xf>
    <xf numFmtId="0" fontId="33" fillId="0" borderId="65" xfId="0" applyFont="1" applyFill="1" applyBorder="1" applyAlignment="1" applyProtection="1">
      <alignment vertical="top" wrapText="1"/>
      <protection hidden="1"/>
    </xf>
    <xf numFmtId="0" fontId="28" fillId="0" borderId="66" xfId="0" applyFont="1" applyFill="1" applyBorder="1" applyAlignment="1" applyProtection="1">
      <alignment horizontal="left" vertical="top"/>
      <protection hidden="1"/>
    </xf>
    <xf numFmtId="0" fontId="28" fillId="0" borderId="66" xfId="0" applyFont="1" applyFill="1" applyBorder="1" applyAlignment="1" applyProtection="1">
      <alignment horizontal="left" vertical="top" wrapText="1"/>
      <protection hidden="1"/>
    </xf>
    <xf numFmtId="0" fontId="28" fillId="0" borderId="66" xfId="0" applyFont="1" applyFill="1" applyBorder="1" applyAlignment="1" applyProtection="1">
      <alignment vertical="center"/>
      <protection hidden="1"/>
    </xf>
    <xf numFmtId="0" fontId="28" fillId="0" borderId="66" xfId="0" applyFont="1" applyFill="1" applyBorder="1" applyAlignment="1" applyProtection="1">
      <alignment vertical="top" wrapText="1"/>
      <protection hidden="1"/>
    </xf>
    <xf numFmtId="0" fontId="32" fillId="30" borderId="61" xfId="0" applyFont="1" applyFill="1" applyBorder="1" applyAlignment="1" applyProtection="1">
      <alignment vertical="center"/>
      <protection hidden="1"/>
    </xf>
    <xf numFmtId="0" fontId="125" fillId="41" borderId="265" xfId="0" applyFont="1" applyFill="1" applyBorder="1" applyAlignment="1" applyProtection="1">
      <alignment horizontal="center" vertical="center"/>
      <protection locked="0"/>
    </xf>
    <xf numFmtId="0" fontId="28" fillId="0" borderId="266" xfId="0" applyFont="1" applyFill="1" applyBorder="1" applyAlignment="1" applyProtection="1">
      <alignment vertical="top" wrapText="1"/>
      <protection hidden="1"/>
    </xf>
    <xf numFmtId="0" fontId="37" fillId="47" borderId="151" xfId="0" applyFont="1" applyFill="1" applyBorder="1" applyAlignment="1" applyProtection="1">
      <alignment horizontal="center" vertical="center" wrapText="1"/>
      <protection hidden="1"/>
    </xf>
    <xf numFmtId="0" fontId="28" fillId="0" borderId="144" xfId="0" applyFont="1" applyBorder="1" applyAlignment="1" applyProtection="1">
      <alignment horizontal="center" vertical="center"/>
      <protection hidden="1"/>
    </xf>
    <xf numFmtId="0" fontId="125" fillId="41" borderId="267" xfId="0" applyFont="1" applyFill="1" applyBorder="1" applyAlignment="1" applyProtection="1">
      <alignment horizontal="center" vertical="center"/>
      <protection locked="0"/>
    </xf>
    <xf numFmtId="0" fontId="28" fillId="0" borderId="268" xfId="0" applyFont="1" applyFill="1" applyBorder="1" applyAlignment="1" applyProtection="1">
      <alignment vertical="top" wrapText="1"/>
      <protection hidden="1"/>
    </xf>
    <xf numFmtId="0" fontId="23" fillId="47" borderId="149" xfId="0" applyFont="1" applyFill="1" applyBorder="1" applyAlignment="1" applyProtection="1">
      <alignment horizontal="center" vertical="center" wrapText="1"/>
      <protection hidden="1"/>
    </xf>
    <xf numFmtId="0" fontId="125" fillId="0" borderId="0" xfId="0" applyFont="1" applyFill="1" applyBorder="1" applyAlignment="1" applyProtection="1">
      <alignment horizontal="center" vertical="center"/>
      <protection hidden="1"/>
    </xf>
    <xf numFmtId="0" fontId="28" fillId="0" borderId="269" xfId="0" applyFont="1" applyFill="1" applyBorder="1" applyAlignment="1" applyProtection="1">
      <alignment vertical="top" wrapText="1"/>
      <protection hidden="1"/>
    </xf>
    <xf numFmtId="0" fontId="23" fillId="0" borderId="0" xfId="0" applyFont="1" applyFill="1" applyBorder="1" applyAlignment="1" applyProtection="1">
      <alignment vertical="center" wrapText="1"/>
      <protection hidden="1"/>
    </xf>
    <xf numFmtId="0" fontId="26" fillId="0" borderId="0" xfId="0" applyFont="1" applyFill="1" applyBorder="1" applyAlignment="1" applyProtection="1">
      <alignment horizontal="left" vertical="center" wrapText="1"/>
      <protection hidden="1"/>
    </xf>
    <xf numFmtId="0" fontId="28" fillId="0" borderId="0" xfId="48" applyFont="1" applyAlignment="1" applyProtection="1">
      <alignment horizontal="left" vertical="center" indent="3"/>
      <protection hidden="1"/>
    </xf>
    <xf numFmtId="0" fontId="33" fillId="0" borderId="0" xfId="48" applyFont="1" applyAlignment="1" applyProtection="1">
      <alignment horizontal="right" vertical="center"/>
      <protection hidden="1"/>
    </xf>
    <xf numFmtId="0" fontId="28" fillId="0" borderId="0" xfId="48" applyFont="1" applyAlignment="1" applyProtection="1">
      <alignment horizontal="left" vertical="center" indent="1"/>
      <protection hidden="1"/>
    </xf>
    <xf numFmtId="0" fontId="33" fillId="0" borderId="0" xfId="48" applyFont="1" applyAlignment="1" applyProtection="1">
      <alignment horizontal="left" vertical="center"/>
      <protection hidden="1"/>
    </xf>
    <xf numFmtId="224" fontId="28" fillId="0" borderId="0" xfId="48" applyNumberFormat="1" applyFont="1" applyAlignment="1" applyProtection="1">
      <alignment horizontal="center" vertical="center"/>
      <protection hidden="1"/>
    </xf>
    <xf numFmtId="0" fontId="28" fillId="0" borderId="0" xfId="0" applyFont="1" applyAlignment="1" applyProtection="1">
      <alignment horizontal="left" vertical="center" indent="3"/>
      <protection hidden="1"/>
    </xf>
    <xf numFmtId="0" fontId="28" fillId="0" borderId="0" xfId="48" applyFont="1" applyProtection="1">
      <alignment vertical="center"/>
      <protection hidden="1"/>
    </xf>
    <xf numFmtId="182" fontId="37" fillId="33" borderId="62" xfId="0" applyNumberFormat="1" applyFont="1" applyFill="1" applyBorder="1" applyAlignment="1" applyProtection="1">
      <alignment horizontal="left" vertical="center" shrinkToFit="1"/>
      <protection hidden="1"/>
    </xf>
    <xf numFmtId="182" fontId="37" fillId="33" borderId="0" xfId="0" applyNumberFormat="1" applyFont="1" applyFill="1" applyBorder="1" applyAlignment="1" applyProtection="1">
      <alignment horizontal="left" vertical="center" shrinkToFit="1"/>
      <protection hidden="1"/>
    </xf>
    <xf numFmtId="182" fontId="37" fillId="33" borderId="0" xfId="0" applyNumberFormat="1" applyFont="1" applyFill="1" applyBorder="1" applyAlignment="1" applyProtection="1">
      <alignment horizontal="left" shrinkToFit="1"/>
      <protection hidden="1"/>
    </xf>
    <xf numFmtId="182" fontId="37" fillId="31" borderId="104" xfId="0" applyNumberFormat="1" applyFont="1" applyFill="1" applyBorder="1" applyAlignment="1" applyProtection="1">
      <alignment horizontal="left" vertical="center" shrinkToFit="1"/>
      <protection hidden="1"/>
    </xf>
    <xf numFmtId="182" fontId="37" fillId="31" borderId="102" xfId="0" applyNumberFormat="1" applyFont="1" applyFill="1" applyBorder="1" applyAlignment="1" applyProtection="1">
      <alignment horizontal="left" vertical="center" shrinkToFit="1"/>
      <protection hidden="1"/>
    </xf>
    <xf numFmtId="182" fontId="37" fillId="31" borderId="102" xfId="0" applyNumberFormat="1" applyFont="1" applyFill="1" applyBorder="1" applyAlignment="1" applyProtection="1">
      <alignment horizontal="left" shrinkToFit="1"/>
      <protection hidden="1"/>
    </xf>
    <xf numFmtId="182" fontId="28" fillId="0" borderId="62" xfId="0" applyNumberFormat="1" applyFont="1" applyFill="1" applyBorder="1" applyAlignment="1" applyProtection="1">
      <alignment horizontal="left" vertical="center" shrinkToFit="1"/>
      <protection locked="0"/>
    </xf>
    <xf numFmtId="182" fontId="28" fillId="0" borderId="0" xfId="0" applyNumberFormat="1" applyFont="1" applyFill="1" applyBorder="1" applyAlignment="1" applyProtection="1">
      <alignment horizontal="left" vertical="center" shrinkToFit="1"/>
      <protection locked="0"/>
    </xf>
    <xf numFmtId="182" fontId="37" fillId="0" borderId="0" xfId="0" applyNumberFormat="1" applyFont="1" applyFill="1" applyBorder="1" applyAlignment="1" applyProtection="1">
      <alignment horizontal="left" shrinkToFit="1"/>
      <protection locked="0"/>
    </xf>
    <xf numFmtId="182" fontId="28" fillId="0" borderId="80" xfId="0" applyNumberFormat="1" applyFont="1" applyFill="1" applyBorder="1" applyAlignment="1" applyProtection="1">
      <alignment horizontal="left" vertical="center" shrinkToFit="1"/>
      <protection locked="0"/>
    </xf>
    <xf numFmtId="182" fontId="28" fillId="0" borderId="50" xfId="0" applyNumberFormat="1" applyFont="1" applyFill="1" applyBorder="1" applyAlignment="1" applyProtection="1">
      <alignment horizontal="left" vertical="center" shrinkToFit="1"/>
      <protection locked="0"/>
    </xf>
    <xf numFmtId="182" fontId="37" fillId="0" borderId="50" xfId="0" applyNumberFormat="1" applyFont="1" applyFill="1" applyBorder="1" applyAlignment="1" applyProtection="1">
      <alignment horizontal="left" shrinkToFit="1"/>
      <protection locked="0"/>
    </xf>
    <xf numFmtId="182" fontId="28" fillId="0" borderId="89" xfId="0" applyNumberFormat="1" applyFont="1" applyFill="1" applyBorder="1" applyAlignment="1" applyProtection="1">
      <alignment horizontal="left" vertical="center" shrinkToFit="1"/>
      <protection locked="0"/>
    </xf>
    <xf numFmtId="182" fontId="28" fillId="0" borderId="53" xfId="0" applyNumberFormat="1" applyFont="1" applyFill="1" applyBorder="1" applyAlignment="1" applyProtection="1">
      <alignment horizontal="left" vertical="center" shrinkToFit="1"/>
      <protection locked="0"/>
    </xf>
    <xf numFmtId="182" fontId="37" fillId="0" borderId="53" xfId="0" applyNumberFormat="1" applyFont="1" applyFill="1" applyBorder="1" applyAlignment="1" applyProtection="1">
      <alignment horizontal="left" shrinkToFit="1"/>
      <protection locked="0"/>
    </xf>
    <xf numFmtId="182" fontId="37" fillId="31" borderId="128" xfId="0" applyNumberFormat="1" applyFont="1" applyFill="1" applyBorder="1" applyAlignment="1" applyProtection="1">
      <alignment horizontal="left" vertical="center" shrinkToFit="1"/>
      <protection hidden="1"/>
    </xf>
    <xf numFmtId="182" fontId="37" fillId="31" borderId="129" xfId="0" applyNumberFormat="1" applyFont="1" applyFill="1" applyBorder="1" applyAlignment="1" applyProtection="1">
      <alignment horizontal="left" vertical="center" shrinkToFit="1"/>
      <protection hidden="1"/>
    </xf>
    <xf numFmtId="182" fontId="37" fillId="31" borderId="129" xfId="0" applyNumberFormat="1" applyFont="1" applyFill="1" applyBorder="1" applyAlignment="1" applyProtection="1">
      <alignment horizontal="left" shrinkToFit="1"/>
      <protection hidden="1"/>
    </xf>
    <xf numFmtId="182" fontId="28" fillId="0" borderId="77" xfId="0" applyNumberFormat="1" applyFont="1" applyFill="1" applyBorder="1" applyAlignment="1" applyProtection="1">
      <alignment horizontal="left" vertical="center" shrinkToFit="1"/>
      <protection locked="0"/>
    </xf>
    <xf numFmtId="182" fontId="28" fillId="0" borderId="57" xfId="0" applyNumberFormat="1" applyFont="1" applyFill="1" applyBorder="1" applyAlignment="1" applyProtection="1">
      <alignment horizontal="left" vertical="center" shrinkToFit="1"/>
      <protection locked="0"/>
    </xf>
    <xf numFmtId="182" fontId="37" fillId="0" borderId="57" xfId="0" applyNumberFormat="1" applyFont="1" applyFill="1" applyBorder="1" applyAlignment="1" applyProtection="1">
      <alignment horizontal="left" shrinkToFit="1"/>
      <protection locked="0"/>
    </xf>
    <xf numFmtId="182" fontId="28" fillId="0" borderId="89" xfId="0" applyNumberFormat="1" applyFont="1" applyFill="1" applyBorder="1" applyAlignment="1" applyProtection="1">
      <alignment horizontal="left" vertical="top" shrinkToFit="1"/>
      <protection locked="0"/>
    </xf>
    <xf numFmtId="0" fontId="0" fillId="0" borderId="53" xfId="0" applyBorder="1" applyAlignment="1" applyProtection="1">
      <alignment horizontal="left" vertical="top" shrinkToFit="1"/>
      <protection locked="0"/>
    </xf>
    <xf numFmtId="182" fontId="37" fillId="0" borderId="62" xfId="0" applyNumberFormat="1" applyFont="1" applyFill="1" applyBorder="1" applyAlignment="1" applyProtection="1">
      <alignment horizontal="left" vertical="center" shrinkToFit="1"/>
      <protection hidden="1"/>
    </xf>
    <xf numFmtId="182" fontId="37" fillId="0" borderId="0" xfId="0" applyNumberFormat="1" applyFont="1" applyFill="1" applyBorder="1" applyAlignment="1" applyProtection="1">
      <alignment horizontal="left" vertical="center" shrinkToFit="1"/>
      <protection hidden="1"/>
    </xf>
    <xf numFmtId="182" fontId="37" fillId="0" borderId="0" xfId="0" applyNumberFormat="1" applyFont="1" applyFill="1" applyBorder="1" applyAlignment="1" applyProtection="1">
      <alignment horizontal="left" shrinkToFit="1"/>
      <protection hidden="1"/>
    </xf>
    <xf numFmtId="182" fontId="37" fillId="33" borderId="59" xfId="0" applyNumberFormat="1" applyFont="1" applyFill="1" applyBorder="1" applyAlignment="1" applyProtection="1">
      <alignment horizontal="left" vertical="center" shrinkToFit="1"/>
      <protection hidden="1"/>
    </xf>
    <xf numFmtId="182" fontId="37" fillId="33" borderId="60" xfId="0" applyNumberFormat="1" applyFont="1" applyFill="1" applyBorder="1" applyAlignment="1" applyProtection="1">
      <alignment horizontal="left" vertical="center" shrinkToFit="1"/>
      <protection hidden="1"/>
    </xf>
    <xf numFmtId="182" fontId="37" fillId="33" borderId="60" xfId="0" applyNumberFormat="1" applyFont="1" applyFill="1" applyBorder="1" applyAlignment="1" applyProtection="1">
      <alignment horizontal="left" shrinkToFit="1"/>
      <protection hidden="1"/>
    </xf>
    <xf numFmtId="182" fontId="37" fillId="0" borderId="27" xfId="0" applyNumberFormat="1" applyFont="1" applyFill="1" applyBorder="1" applyAlignment="1" applyProtection="1">
      <alignment horizontal="left" shrinkToFit="1"/>
      <protection locked="0"/>
    </xf>
    <xf numFmtId="182" fontId="28" fillId="0" borderId="146" xfId="0" applyNumberFormat="1" applyFont="1" applyFill="1" applyBorder="1" applyAlignment="1" applyProtection="1">
      <alignment horizontal="left" vertical="center" shrinkToFit="1"/>
      <protection locked="0"/>
    </xf>
    <xf numFmtId="182" fontId="28" fillId="0" borderId="109" xfId="0" applyNumberFormat="1" applyFont="1" applyFill="1" applyBorder="1" applyAlignment="1" applyProtection="1">
      <alignment horizontal="left" vertical="center" shrinkToFit="1"/>
      <protection locked="0"/>
    </xf>
    <xf numFmtId="182" fontId="37" fillId="0" borderId="147" xfId="0" applyNumberFormat="1" applyFont="1" applyFill="1" applyBorder="1" applyAlignment="1" applyProtection="1">
      <alignment horizontal="left" shrinkToFit="1"/>
      <protection locked="0"/>
    </xf>
    <xf numFmtId="182" fontId="37" fillId="0" borderId="17" xfId="0" applyNumberFormat="1" applyFont="1" applyFill="1" applyBorder="1" applyAlignment="1" applyProtection="1">
      <alignment horizontal="left" shrinkToFit="1"/>
      <protection locked="0"/>
    </xf>
    <xf numFmtId="182" fontId="28" fillId="0" borderId="80" xfId="0" applyNumberFormat="1" applyFont="1" applyFill="1" applyBorder="1" applyAlignment="1" applyProtection="1">
      <alignment horizontal="left" vertical="top" shrinkToFit="1"/>
      <protection locked="0"/>
    </xf>
    <xf numFmtId="0" fontId="0" fillId="0" borderId="50" xfId="0" applyBorder="1" applyAlignment="1" applyProtection="1">
      <alignment horizontal="left" vertical="top" shrinkToFit="1"/>
      <protection locked="0"/>
    </xf>
    <xf numFmtId="182" fontId="28" fillId="0" borderId="62" xfId="0" applyNumberFormat="1" applyFont="1" applyFill="1" applyBorder="1" applyAlignment="1" applyProtection="1">
      <alignment horizontal="left" vertical="top" shrinkToFit="1"/>
      <protection locked="0"/>
    </xf>
    <xf numFmtId="0" fontId="0" fillId="0" borderId="0" xfId="0" applyBorder="1" applyAlignment="1" applyProtection="1">
      <alignment horizontal="left" vertical="top" shrinkToFit="1"/>
      <protection locked="0"/>
    </xf>
    <xf numFmtId="0" fontId="0" fillId="0" borderId="17" xfId="0" applyBorder="1" applyAlignment="1" applyProtection="1">
      <alignment horizontal="left" vertical="top" shrinkToFit="1"/>
      <protection locked="0"/>
    </xf>
    <xf numFmtId="183" fontId="33" fillId="0" borderId="76" xfId="0" applyNumberFormat="1" applyFont="1" applyFill="1" applyBorder="1" applyAlignment="1" applyProtection="1">
      <alignment horizontal="right" vertical="center" shrinkToFit="1"/>
      <protection hidden="1"/>
    </xf>
    <xf numFmtId="183" fontId="33" fillId="0" borderId="78" xfId="0" applyNumberFormat="1" applyFont="1" applyFill="1" applyBorder="1" applyAlignment="1" applyProtection="1">
      <alignment horizontal="right" vertical="center" shrinkToFit="1"/>
      <protection hidden="1"/>
    </xf>
    <xf numFmtId="0" fontId="6" fillId="0" borderId="0" xfId="0" applyFont="1" applyFill="1" applyBorder="1" applyAlignment="1" applyProtection="1">
      <alignment vertical="center" shrinkToFit="1"/>
    </xf>
    <xf numFmtId="0" fontId="6" fillId="0" borderId="57" xfId="0" applyFont="1" applyFill="1" applyBorder="1" applyAlignment="1" applyProtection="1">
      <alignment vertical="center" shrinkToFit="1"/>
    </xf>
    <xf numFmtId="0" fontId="28" fillId="0" borderId="0" xfId="0" applyFont="1" applyProtection="1">
      <alignment vertical="center"/>
      <protection hidden="1"/>
    </xf>
    <xf numFmtId="0" fontId="28" fillId="0" borderId="0" xfId="0" applyFont="1" applyProtection="1">
      <alignment vertical="center"/>
      <protection hidden="1"/>
    </xf>
    <xf numFmtId="0" fontId="28" fillId="27" borderId="10" xfId="0" applyNumberFormat="1" applyFont="1" applyFill="1" applyBorder="1" applyAlignment="1" applyProtection="1">
      <alignment horizontal="center" vertical="center"/>
      <protection hidden="1"/>
    </xf>
    <xf numFmtId="0" fontId="28" fillId="27" borderId="51" xfId="0" applyNumberFormat="1" applyFont="1" applyFill="1" applyBorder="1" applyAlignment="1" applyProtection="1">
      <alignment horizontal="center" vertical="center"/>
      <protection hidden="1"/>
    </xf>
    <xf numFmtId="0" fontId="28" fillId="27" borderId="26" xfId="0" applyNumberFormat="1" applyFont="1" applyFill="1" applyBorder="1" applyAlignment="1" applyProtection="1">
      <alignment horizontal="centerContinuous" vertical="center"/>
      <protection hidden="1"/>
    </xf>
    <xf numFmtId="0" fontId="28" fillId="27" borderId="50" xfId="0" applyNumberFormat="1" applyFont="1" applyFill="1" applyBorder="1" applyAlignment="1" applyProtection="1">
      <alignment horizontal="centerContinuous" vertical="center"/>
      <protection hidden="1"/>
    </xf>
    <xf numFmtId="0" fontId="28" fillId="27" borderId="27" xfId="0" applyNumberFormat="1" applyFont="1" applyFill="1" applyBorder="1" applyAlignment="1" applyProtection="1">
      <alignment horizontal="centerContinuous" vertical="center"/>
      <protection hidden="1"/>
    </xf>
    <xf numFmtId="0" fontId="28" fillId="27" borderId="16" xfId="0" applyNumberFormat="1" applyFont="1" applyFill="1" applyBorder="1" applyAlignment="1" applyProtection="1">
      <alignment horizontal="center" vertical="center"/>
      <protection hidden="1"/>
    </xf>
    <xf numFmtId="0" fontId="28" fillId="27" borderId="164" xfId="0" applyNumberFormat="1" applyFont="1" applyFill="1" applyBorder="1" applyAlignment="1" applyProtection="1">
      <alignment vertical="center"/>
      <protection hidden="1"/>
    </xf>
    <xf numFmtId="0" fontId="28" fillId="31" borderId="173" xfId="0" applyNumberFormat="1" applyFont="1" applyFill="1" applyBorder="1" applyAlignment="1" applyProtection="1">
      <alignment horizontal="center" vertical="center"/>
      <protection locked="0"/>
    </xf>
    <xf numFmtId="0" fontId="28" fillId="27" borderId="55" xfId="0" applyNumberFormat="1" applyFont="1" applyFill="1" applyBorder="1" applyAlignment="1" applyProtection="1">
      <alignment horizontal="center" vertical="center"/>
      <protection hidden="1"/>
    </xf>
    <xf numFmtId="0" fontId="28" fillId="31" borderId="174" xfId="0" applyNumberFormat="1" applyFont="1" applyFill="1" applyBorder="1" applyAlignment="1" applyProtection="1">
      <alignment horizontal="center" vertical="center"/>
      <protection locked="0"/>
    </xf>
    <xf numFmtId="0" fontId="28" fillId="27" borderId="56" xfId="0" applyNumberFormat="1" applyFont="1" applyFill="1" applyBorder="1" applyAlignment="1" applyProtection="1">
      <alignment vertical="center"/>
      <protection hidden="1"/>
    </xf>
    <xf numFmtId="0" fontId="28" fillId="27" borderId="57" xfId="0" applyNumberFormat="1" applyFont="1" applyFill="1" applyBorder="1" applyAlignment="1" applyProtection="1">
      <alignment vertical="center"/>
      <protection hidden="1"/>
    </xf>
    <xf numFmtId="0" fontId="28" fillId="27" borderId="58" xfId="0" applyNumberFormat="1" applyFont="1" applyFill="1" applyBorder="1" applyAlignment="1" applyProtection="1">
      <alignment vertical="center"/>
      <protection hidden="1"/>
    </xf>
    <xf numFmtId="0" fontId="177" fillId="0" borderId="0" xfId="49">
      <alignment vertical="center"/>
    </xf>
    <xf numFmtId="182" fontId="0" fillId="0" borderId="10" xfId="0" applyNumberFormat="1" applyBorder="1">
      <alignment vertical="center"/>
    </xf>
    <xf numFmtId="0" fontId="107" fillId="0" borderId="241" xfId="0" quotePrefix="1" applyNumberFormat="1" applyFont="1" applyFill="1" applyBorder="1" applyAlignment="1" applyProtection="1">
      <alignment horizontal="center" vertical="center"/>
      <protection hidden="1"/>
    </xf>
    <xf numFmtId="0" fontId="37" fillId="0" borderId="245" xfId="0" quotePrefix="1" applyNumberFormat="1" applyFont="1" applyFill="1" applyBorder="1" applyAlignment="1" applyProtection="1">
      <alignment horizontal="left" vertical="center"/>
      <protection hidden="1"/>
    </xf>
    <xf numFmtId="0" fontId="107" fillId="0" borderId="245" xfId="0" quotePrefix="1" applyNumberFormat="1" applyFont="1" applyFill="1" applyBorder="1" applyAlignment="1" applyProtection="1">
      <alignment horizontal="center" vertical="center"/>
      <protection hidden="1"/>
    </xf>
    <xf numFmtId="178" fontId="125" fillId="29" borderId="264" xfId="0" applyNumberFormat="1" applyFont="1" applyFill="1" applyBorder="1" applyAlignment="1" applyProtection="1">
      <alignment horizontal="center" vertical="center"/>
      <protection hidden="1"/>
    </xf>
    <xf numFmtId="0" fontId="28" fillId="59" borderId="144" xfId="0" applyNumberFormat="1" applyFont="1" applyFill="1" applyBorder="1" applyAlignment="1" applyProtection="1">
      <alignment horizontal="center" vertical="center"/>
      <protection locked="0"/>
    </xf>
    <xf numFmtId="0" fontId="28" fillId="27" borderId="173" xfId="0" applyNumberFormat="1" applyFont="1" applyFill="1" applyBorder="1" applyAlignment="1" applyProtection="1">
      <alignment horizontal="center" vertical="center"/>
      <protection locked="0"/>
    </xf>
    <xf numFmtId="0" fontId="177" fillId="58" borderId="272" xfId="49" applyFill="1" applyBorder="1" applyAlignment="1">
      <alignment horizontal="center" vertical="center"/>
    </xf>
    <xf numFmtId="0" fontId="178" fillId="58" borderId="273" xfId="49" applyFont="1" applyFill="1" applyBorder="1" applyAlignment="1">
      <alignment horizontal="center" vertical="center"/>
    </xf>
    <xf numFmtId="0" fontId="177" fillId="58" borderId="273" xfId="49" applyFill="1" applyBorder="1" applyAlignment="1">
      <alignment horizontal="center" vertical="center" shrinkToFit="1"/>
    </xf>
    <xf numFmtId="0" fontId="177" fillId="58" borderId="273" xfId="49" applyFill="1" applyBorder="1" applyAlignment="1">
      <alignment horizontal="center" vertical="center"/>
    </xf>
    <xf numFmtId="0" fontId="177" fillId="58" borderId="274" xfId="49" applyFill="1" applyBorder="1" applyAlignment="1">
      <alignment horizontal="center" vertical="center"/>
    </xf>
    <xf numFmtId="0" fontId="179" fillId="27" borderId="24" xfId="0" applyFont="1" applyFill="1" applyBorder="1" applyAlignment="1" applyProtection="1">
      <protection hidden="1"/>
    </xf>
    <xf numFmtId="0" fontId="40" fillId="27" borderId="24" xfId="0" applyFont="1" applyFill="1" applyBorder="1" applyAlignment="1" applyProtection="1">
      <protection hidden="1"/>
    </xf>
    <xf numFmtId="0" fontId="180" fillId="27" borderId="0" xfId="0" applyFont="1" applyFill="1" applyBorder="1" applyAlignment="1" applyProtection="1">
      <alignment horizontal="left" vertical="center"/>
      <protection hidden="1"/>
    </xf>
    <xf numFmtId="31" fontId="33" fillId="0" borderId="76" xfId="0" applyNumberFormat="1" applyFont="1" applyFill="1" applyBorder="1" applyAlignment="1" applyProtection="1">
      <alignment horizontal="left" vertical="center" shrinkToFit="1"/>
      <protection hidden="1"/>
    </xf>
    <xf numFmtId="31" fontId="33" fillId="0" borderId="63" xfId="0" applyNumberFormat="1" applyFont="1" applyFill="1" applyBorder="1" applyAlignment="1" applyProtection="1">
      <alignment horizontal="left" vertical="center" shrinkToFit="1"/>
      <protection hidden="1"/>
    </xf>
    <xf numFmtId="182" fontId="28" fillId="0" borderId="62" xfId="0" applyNumberFormat="1" applyFont="1" applyFill="1" applyBorder="1" applyAlignment="1" applyProtection="1">
      <alignment horizontal="left" vertical="top" shrinkToFit="1"/>
      <protection locked="0"/>
    </xf>
    <xf numFmtId="0" fontId="0" fillId="0" borderId="0" xfId="0" applyAlignment="1" applyProtection="1">
      <alignment horizontal="left" vertical="top" shrinkToFit="1"/>
      <protection locked="0"/>
    </xf>
    <xf numFmtId="0" fontId="0" fillId="0" borderId="63" xfId="0" applyBorder="1" applyAlignment="1" applyProtection="1">
      <alignment horizontal="left" vertical="top" shrinkToFit="1"/>
      <protection locked="0"/>
    </xf>
    <xf numFmtId="0" fontId="0" fillId="0" borderId="0" xfId="0" applyBorder="1" applyAlignment="1" applyProtection="1">
      <alignment horizontal="left" vertical="top" shrinkToFit="1"/>
      <protection locked="0"/>
    </xf>
    <xf numFmtId="2" fontId="34" fillId="0" borderId="0" xfId="0" applyNumberFormat="1" applyFont="1" applyFill="1" applyBorder="1" applyAlignment="1" applyProtection="1">
      <alignment horizontal="left" vertical="center"/>
      <protection hidden="1"/>
    </xf>
    <xf numFmtId="185" fontId="85" fillId="27" borderId="57" xfId="0" applyNumberFormat="1" applyFont="1" applyFill="1" applyBorder="1" applyAlignment="1" applyProtection="1">
      <alignment horizontal="center" vertical="center" wrapText="1"/>
      <protection hidden="1"/>
    </xf>
    <xf numFmtId="198" fontId="102" fillId="33" borderId="0" xfId="0" applyNumberFormat="1" applyFont="1" applyFill="1" applyBorder="1" applyAlignment="1" applyProtection="1">
      <alignment horizontal="center" vertical="center"/>
      <protection hidden="1"/>
    </xf>
    <xf numFmtId="198" fontId="126" fillId="31" borderId="102" xfId="0" applyNumberFormat="1" applyFont="1" applyFill="1" applyBorder="1" applyAlignment="1" applyProtection="1">
      <alignment horizontal="center" vertical="center"/>
      <protection hidden="1"/>
    </xf>
    <xf numFmtId="0" fontId="107" fillId="54" borderId="57" xfId="0" quotePrefix="1" applyNumberFormat="1" applyFont="1" applyFill="1" applyBorder="1" applyAlignment="1" applyProtection="1">
      <alignment horizontal="center" vertical="center"/>
      <protection hidden="1"/>
    </xf>
    <xf numFmtId="0" fontId="37" fillId="54" borderId="96" xfId="0" quotePrefix="1" applyNumberFormat="1" applyFont="1" applyFill="1" applyBorder="1" applyAlignment="1" applyProtection="1">
      <alignment horizontal="left" vertical="center"/>
      <protection hidden="1"/>
    </xf>
    <xf numFmtId="0" fontId="125" fillId="27" borderId="62" xfId="0" applyFont="1" applyFill="1" applyBorder="1" applyAlignment="1" applyProtection="1">
      <alignment horizontal="center" vertical="center"/>
      <protection hidden="1"/>
    </xf>
    <xf numFmtId="37" fontId="33" fillId="0" borderId="79" xfId="0" applyNumberFormat="1" applyFont="1" applyFill="1" applyBorder="1" applyAlignment="1" applyProtection="1">
      <alignment horizontal="left" vertical="center" shrinkToFit="1"/>
      <protection hidden="1"/>
    </xf>
    <xf numFmtId="0" fontId="33" fillId="27" borderId="26" xfId="0" applyNumberFormat="1" applyFont="1" applyFill="1" applyBorder="1" applyAlignment="1" applyProtection="1">
      <alignment horizontal="left" vertical="center" shrinkToFit="1"/>
      <protection hidden="1"/>
    </xf>
    <xf numFmtId="0" fontId="0" fillId="0" borderId="0" xfId="0" applyAlignment="1"/>
    <xf numFmtId="225" fontId="33" fillId="0" borderId="10" xfId="44" applyNumberFormat="1" applyFont="1" applyBorder="1" applyAlignment="1"/>
    <xf numFmtId="225" fontId="33" fillId="0" borderId="0" xfId="44" applyNumberFormat="1" applyFont="1" applyBorder="1" applyAlignment="1"/>
    <xf numFmtId="215" fontId="6" fillId="27" borderId="0" xfId="45" applyNumberFormat="1" applyFont="1" applyFill="1" applyBorder="1" applyAlignment="1" applyProtection="1">
      <alignment vertical="center"/>
      <protection hidden="1"/>
    </xf>
    <xf numFmtId="0" fontId="0" fillId="27" borderId="0" xfId="0" applyFont="1" applyFill="1" applyBorder="1">
      <alignment vertical="center"/>
    </xf>
    <xf numFmtId="0" fontId="33" fillId="27" borderId="26" xfId="0" applyNumberFormat="1" applyFont="1" applyFill="1" applyBorder="1" applyAlignment="1" applyProtection="1">
      <alignment horizontal="left" vertical="center" shrinkToFit="1"/>
      <protection hidden="1"/>
    </xf>
    <xf numFmtId="2" fontId="33" fillId="35" borderId="10" xfId="0" applyNumberFormat="1" applyFont="1" applyFill="1" applyBorder="1" applyAlignment="1" applyProtection="1">
      <alignment horizontal="center"/>
      <protection hidden="1"/>
    </xf>
    <xf numFmtId="198" fontId="125" fillId="31" borderId="10" xfId="35" applyNumberFormat="1" applyFont="1" applyFill="1" applyBorder="1" applyAlignment="1" applyProtection="1">
      <alignment horizontal="center" vertical="center"/>
      <protection hidden="1"/>
    </xf>
    <xf numFmtId="198" fontId="182" fillId="31" borderId="27" xfId="35" applyNumberFormat="1" applyFont="1" applyFill="1" applyBorder="1" applyAlignment="1" applyProtection="1">
      <alignment horizontal="center" vertical="center"/>
      <protection hidden="1"/>
    </xf>
    <xf numFmtId="198" fontId="182" fillId="31" borderId="10" xfId="35" applyNumberFormat="1" applyFont="1" applyFill="1" applyBorder="1" applyAlignment="1" applyProtection="1">
      <alignment horizontal="center" vertical="center"/>
      <protection hidden="1"/>
    </xf>
    <xf numFmtId="198" fontId="183" fillId="31" borderId="10" xfId="35" applyNumberFormat="1" applyFont="1" applyFill="1" applyBorder="1" applyAlignment="1" applyProtection="1">
      <alignment horizontal="center" vertical="center"/>
      <protection hidden="1"/>
    </xf>
    <xf numFmtId="198" fontId="125" fillId="31" borderId="27" xfId="35" applyNumberFormat="1" applyFont="1" applyFill="1" applyBorder="1" applyAlignment="1" applyProtection="1">
      <alignment horizontal="center" vertical="center"/>
      <protection hidden="1"/>
    </xf>
    <xf numFmtId="198" fontId="182" fillId="27" borderId="10" xfId="35" applyNumberFormat="1" applyFont="1" applyFill="1" applyBorder="1" applyAlignment="1" applyProtection="1">
      <alignment horizontal="center"/>
      <protection hidden="1"/>
    </xf>
    <xf numFmtId="198" fontId="182" fillId="61" borderId="26" xfId="35" applyNumberFormat="1" applyFont="1" applyFill="1" applyBorder="1" applyAlignment="1" applyProtection="1">
      <alignment horizontal="center" vertical="center"/>
      <protection hidden="1"/>
    </xf>
    <xf numFmtId="198" fontId="182" fillId="27" borderId="27" xfId="35" applyNumberFormat="1" applyFont="1" applyFill="1" applyBorder="1" applyAlignment="1" applyProtection="1">
      <alignment horizontal="center"/>
      <protection hidden="1"/>
    </xf>
    <xf numFmtId="198" fontId="125" fillId="27" borderId="10" xfId="35" applyNumberFormat="1" applyFont="1" applyFill="1" applyBorder="1" applyAlignment="1" applyProtection="1">
      <alignment horizontal="center"/>
      <protection hidden="1"/>
    </xf>
    <xf numFmtId="198" fontId="125" fillId="61" borderId="26" xfId="35" applyNumberFormat="1" applyFont="1" applyFill="1" applyBorder="1" applyAlignment="1" applyProtection="1">
      <alignment horizontal="center" vertical="center"/>
      <protection hidden="1"/>
    </xf>
    <xf numFmtId="198" fontId="125" fillId="27" borderId="27" xfId="35" applyNumberFormat="1" applyFont="1" applyFill="1" applyBorder="1" applyAlignment="1" applyProtection="1">
      <alignment horizontal="center"/>
      <protection hidden="1"/>
    </xf>
    <xf numFmtId="198" fontId="184" fillId="27" borderId="10" xfId="35" applyNumberFormat="1" applyFont="1" applyFill="1" applyBorder="1" applyAlignment="1" applyProtection="1">
      <alignment horizontal="center" vertical="center"/>
      <protection hidden="1"/>
    </xf>
    <xf numFmtId="198" fontId="185" fillId="27" borderId="10" xfId="35" applyNumberFormat="1" applyFont="1" applyFill="1" applyBorder="1" applyAlignment="1" applyProtection="1">
      <alignment horizontal="center" vertical="center"/>
      <protection hidden="1"/>
    </xf>
    <xf numFmtId="198" fontId="33" fillId="27" borderId="10" xfId="35" applyNumberFormat="1" applyFont="1" applyFill="1" applyBorder="1" applyAlignment="1" applyProtection="1">
      <alignment horizontal="center" vertical="center"/>
      <protection hidden="1"/>
    </xf>
    <xf numFmtId="198" fontId="184" fillId="61" borderId="10" xfId="35" applyNumberFormat="1" applyFont="1" applyFill="1" applyBorder="1" applyAlignment="1" applyProtection="1">
      <alignment horizontal="center" vertical="center"/>
      <protection hidden="1"/>
    </xf>
    <xf numFmtId="198" fontId="184" fillId="27" borderId="27" xfId="35" applyNumberFormat="1" applyFont="1" applyFill="1" applyBorder="1" applyAlignment="1" applyProtection="1">
      <alignment horizontal="center" vertical="center"/>
      <protection hidden="1"/>
    </xf>
    <xf numFmtId="198" fontId="33" fillId="61" borderId="10" xfId="35" applyNumberFormat="1" applyFont="1" applyFill="1" applyBorder="1" applyAlignment="1" applyProtection="1">
      <alignment horizontal="center" vertical="center"/>
      <protection hidden="1"/>
    </xf>
    <xf numFmtId="198" fontId="33" fillId="27" borderId="27" xfId="35" applyNumberFormat="1" applyFont="1" applyFill="1" applyBorder="1" applyAlignment="1" applyProtection="1">
      <alignment horizontal="center" vertical="center"/>
      <protection hidden="1"/>
    </xf>
    <xf numFmtId="198" fontId="182" fillId="61" borderId="26" xfId="0" applyNumberFormat="1" applyFont="1" applyFill="1" applyBorder="1" applyAlignment="1" applyProtection="1">
      <alignment horizontal="center" vertical="center"/>
      <protection hidden="1"/>
    </xf>
    <xf numFmtId="198" fontId="125" fillId="61" borderId="26" xfId="0" applyNumberFormat="1" applyFont="1" applyFill="1" applyBorder="1" applyAlignment="1" applyProtection="1">
      <alignment horizontal="center" vertical="center"/>
      <protection hidden="1"/>
    </xf>
    <xf numFmtId="198" fontId="184" fillId="61" borderId="26" xfId="0" applyNumberFormat="1" applyFont="1" applyFill="1" applyBorder="1" applyAlignment="1" applyProtection="1">
      <alignment horizontal="center" vertical="center"/>
      <protection hidden="1"/>
    </xf>
    <xf numFmtId="198" fontId="33" fillId="61" borderId="26" xfId="0" applyNumberFormat="1" applyFont="1" applyFill="1" applyBorder="1" applyAlignment="1" applyProtection="1">
      <alignment horizontal="center" vertical="center"/>
      <protection hidden="1"/>
    </xf>
    <xf numFmtId="198" fontId="184" fillId="27" borderId="10" xfId="0" applyNumberFormat="1" applyFont="1" applyFill="1" applyBorder="1" applyAlignment="1" applyProtection="1">
      <alignment horizontal="center"/>
      <protection hidden="1"/>
    </xf>
    <xf numFmtId="198" fontId="33" fillId="27" borderId="10" xfId="0" applyNumberFormat="1" applyFont="1" applyFill="1" applyBorder="1" applyAlignment="1" applyProtection="1">
      <alignment horizontal="center"/>
      <protection hidden="1"/>
    </xf>
    <xf numFmtId="198" fontId="184" fillId="61" borderId="26" xfId="35" applyNumberFormat="1" applyFont="1" applyFill="1" applyBorder="1" applyAlignment="1" applyProtection="1">
      <alignment horizontal="center" vertical="center"/>
      <protection hidden="1"/>
    </xf>
    <xf numFmtId="198" fontId="33" fillId="61" borderId="26" xfId="35" applyNumberFormat="1" applyFont="1" applyFill="1" applyBorder="1" applyAlignment="1" applyProtection="1">
      <alignment horizontal="center" vertical="center"/>
      <protection hidden="1"/>
    </xf>
    <xf numFmtId="198" fontId="184" fillId="42" borderId="10" xfId="35" applyNumberFormat="1" applyFont="1" applyFill="1" applyBorder="1" applyAlignment="1" applyProtection="1">
      <alignment horizontal="center" vertical="center"/>
      <protection hidden="1"/>
    </xf>
    <xf numFmtId="198" fontId="184" fillId="62" borderId="26" xfId="35" applyNumberFormat="1" applyFont="1" applyFill="1" applyBorder="1" applyAlignment="1" applyProtection="1">
      <alignment horizontal="center" vertical="center"/>
      <protection hidden="1"/>
    </xf>
    <xf numFmtId="198" fontId="184" fillId="42" borderId="27" xfId="35" applyNumberFormat="1" applyFont="1" applyFill="1" applyBorder="1" applyAlignment="1" applyProtection="1">
      <alignment horizontal="center" vertical="center"/>
      <protection hidden="1"/>
    </xf>
    <xf numFmtId="198" fontId="33" fillId="42" borderId="10" xfId="35" applyNumberFormat="1" applyFont="1" applyFill="1" applyBorder="1" applyAlignment="1" applyProtection="1">
      <alignment horizontal="center" vertical="center"/>
      <protection hidden="1"/>
    </xf>
    <xf numFmtId="198" fontId="33" fillId="62" borderId="26" xfId="35" applyNumberFormat="1" applyFont="1" applyFill="1" applyBorder="1" applyAlignment="1" applyProtection="1">
      <alignment horizontal="center" vertical="center"/>
      <protection hidden="1"/>
    </xf>
    <xf numFmtId="198" fontId="33" fillId="42" borderId="27" xfId="35" applyNumberFormat="1" applyFont="1" applyFill="1" applyBorder="1" applyAlignment="1" applyProtection="1">
      <alignment horizontal="center" vertical="center"/>
      <protection hidden="1"/>
    </xf>
    <xf numFmtId="198" fontId="125" fillId="27" borderId="10" xfId="35" applyNumberFormat="1" applyFont="1" applyFill="1" applyBorder="1" applyAlignment="1" applyProtection="1">
      <alignment horizontal="center" vertical="center"/>
      <protection hidden="1"/>
    </xf>
    <xf numFmtId="198" fontId="125" fillId="27" borderId="27" xfId="35" applyNumberFormat="1" applyFont="1" applyFill="1" applyBorder="1" applyAlignment="1" applyProtection="1">
      <alignment horizontal="center" vertical="center"/>
      <protection hidden="1"/>
    </xf>
    <xf numFmtId="198" fontId="183" fillId="27" borderId="10" xfId="35" applyNumberFormat="1" applyFont="1" applyFill="1" applyBorder="1" applyAlignment="1" applyProtection="1">
      <alignment horizontal="center" vertical="center"/>
      <protection hidden="1"/>
    </xf>
    <xf numFmtId="198" fontId="184" fillId="27" borderId="26" xfId="35" applyNumberFormat="1" applyFont="1" applyFill="1" applyBorder="1" applyAlignment="1" applyProtection="1">
      <alignment horizontal="center" vertical="center"/>
      <protection hidden="1"/>
    </xf>
    <xf numFmtId="198" fontId="33" fillId="27" borderId="26" xfId="35" applyNumberFormat="1" applyFont="1" applyFill="1" applyBorder="1" applyAlignment="1" applyProtection="1">
      <alignment horizontal="center" vertical="center"/>
      <protection hidden="1"/>
    </xf>
    <xf numFmtId="2" fontId="185" fillId="27" borderId="10" xfId="35" applyNumberFormat="1" applyFont="1" applyFill="1" applyBorder="1" applyAlignment="1" applyProtection="1">
      <alignment horizontal="center" vertical="center"/>
      <protection hidden="1"/>
    </xf>
    <xf numFmtId="0" fontId="185" fillId="27" borderId="10" xfId="0" applyFont="1" applyFill="1" applyBorder="1" applyAlignment="1" applyProtection="1">
      <alignment horizontal="left" vertical="center" shrinkToFit="1"/>
      <protection hidden="1"/>
    </xf>
    <xf numFmtId="49" fontId="185" fillId="27" borderId="10" xfId="0" applyNumberFormat="1" applyFont="1" applyFill="1" applyBorder="1" applyAlignment="1" applyProtection="1">
      <alignment horizontal="left" vertical="center"/>
      <protection hidden="1"/>
    </xf>
    <xf numFmtId="198" fontId="184" fillId="27" borderId="26" xfId="0" applyNumberFormat="1" applyFont="1" applyFill="1" applyBorder="1" applyAlignment="1" applyProtection="1">
      <alignment horizontal="center" vertical="center"/>
      <protection hidden="1"/>
    </xf>
    <xf numFmtId="198" fontId="33" fillId="27" borderId="26" xfId="0" applyNumberFormat="1" applyFont="1" applyFill="1" applyBorder="1" applyAlignment="1" applyProtection="1">
      <alignment horizontal="center" vertical="center"/>
      <protection hidden="1"/>
    </xf>
    <xf numFmtId="198" fontId="183" fillId="27" borderId="10" xfId="35" applyNumberFormat="1" applyFont="1" applyFill="1" applyBorder="1" applyAlignment="1" applyProtection="1">
      <alignment horizontal="center"/>
      <protection hidden="1"/>
    </xf>
    <xf numFmtId="198" fontId="182" fillId="27" borderId="26" xfId="35" applyNumberFormat="1" applyFont="1" applyFill="1" applyBorder="1" applyAlignment="1" applyProtection="1">
      <alignment horizontal="center"/>
      <protection hidden="1"/>
    </xf>
    <xf numFmtId="198" fontId="125" fillId="27" borderId="26" xfId="35" applyNumberFormat="1" applyFont="1" applyFill="1" applyBorder="1" applyAlignment="1" applyProtection="1">
      <alignment horizontal="center"/>
      <protection hidden="1"/>
    </xf>
    <xf numFmtId="0" fontId="183" fillId="27" borderId="10" xfId="0" applyFont="1" applyFill="1" applyBorder="1" applyAlignment="1" applyProtection="1">
      <alignment horizontal="left" vertical="center" shrinkToFit="1"/>
      <protection hidden="1"/>
    </xf>
    <xf numFmtId="2" fontId="185" fillId="27" borderId="10" xfId="0" applyNumberFormat="1" applyFont="1" applyFill="1" applyBorder="1" applyAlignment="1" applyProtection="1">
      <alignment horizontal="left" vertical="center" shrinkToFit="1"/>
      <protection hidden="1"/>
    </xf>
    <xf numFmtId="198" fontId="184" fillId="27" borderId="10" xfId="35" applyNumberFormat="1" applyFont="1" applyFill="1" applyBorder="1" applyAlignment="1" applyProtection="1">
      <alignment horizontal="center"/>
      <protection hidden="1"/>
    </xf>
    <xf numFmtId="198" fontId="184" fillId="27" borderId="27" xfId="35" applyNumberFormat="1" applyFont="1" applyFill="1" applyBorder="1" applyAlignment="1" applyProtection="1">
      <alignment horizontal="center"/>
      <protection hidden="1"/>
    </xf>
    <xf numFmtId="198" fontId="185" fillId="27" borderId="10" xfId="35" applyNumberFormat="1" applyFont="1" applyFill="1" applyBorder="1" applyAlignment="1" applyProtection="1">
      <alignment horizontal="center"/>
      <protection hidden="1"/>
    </xf>
    <xf numFmtId="198" fontId="33" fillId="27" borderId="10" xfId="35" applyNumberFormat="1" applyFont="1" applyFill="1" applyBorder="1" applyAlignment="1" applyProtection="1">
      <alignment horizontal="center"/>
      <protection hidden="1"/>
    </xf>
    <xf numFmtId="198" fontId="33" fillId="27" borderId="27" xfId="35" applyNumberFormat="1" applyFont="1" applyFill="1" applyBorder="1" applyAlignment="1" applyProtection="1">
      <alignment horizontal="center"/>
      <protection hidden="1"/>
    </xf>
    <xf numFmtId="198" fontId="182" fillId="35" borderId="10" xfId="35" applyNumberFormat="1" applyFont="1" applyFill="1" applyBorder="1" applyAlignment="1" applyProtection="1">
      <alignment horizontal="center" vertical="top"/>
      <protection hidden="1"/>
    </xf>
    <xf numFmtId="198" fontId="182" fillId="35" borderId="26" xfId="35" applyNumberFormat="1" applyFont="1" applyFill="1" applyBorder="1" applyAlignment="1" applyProtection="1">
      <alignment horizontal="center" vertical="top"/>
      <protection hidden="1"/>
    </xf>
    <xf numFmtId="198" fontId="182" fillId="35" borderId="27" xfId="0" applyNumberFormat="1" applyFont="1" applyFill="1" applyBorder="1" applyAlignment="1" applyProtection="1">
      <alignment horizontal="center" vertical="top"/>
      <protection hidden="1"/>
    </xf>
    <xf numFmtId="198" fontId="182" fillId="35" borderId="10" xfId="0" applyNumberFormat="1" applyFont="1" applyFill="1" applyBorder="1" applyAlignment="1" applyProtection="1">
      <alignment horizontal="center" vertical="top"/>
      <protection hidden="1"/>
    </xf>
    <xf numFmtId="198" fontId="125" fillId="35" borderId="10" xfId="35" applyNumberFormat="1" applyFont="1" applyFill="1" applyBorder="1" applyAlignment="1" applyProtection="1">
      <alignment horizontal="center" vertical="top"/>
      <protection hidden="1"/>
    </xf>
    <xf numFmtId="198" fontId="125" fillId="35" borderId="26" xfId="35" applyNumberFormat="1" applyFont="1" applyFill="1" applyBorder="1" applyAlignment="1" applyProtection="1">
      <alignment horizontal="center" vertical="top"/>
      <protection hidden="1"/>
    </xf>
    <xf numFmtId="198" fontId="125" fillId="35" borderId="27" xfId="0" applyNumberFormat="1" applyFont="1" applyFill="1" applyBorder="1" applyAlignment="1" applyProtection="1">
      <alignment horizontal="center" vertical="top"/>
      <protection hidden="1"/>
    </xf>
    <xf numFmtId="198" fontId="125" fillId="35" borderId="10" xfId="0" applyNumberFormat="1" applyFont="1" applyFill="1" applyBorder="1" applyAlignment="1" applyProtection="1">
      <alignment horizontal="center" vertical="top"/>
      <protection hidden="1"/>
    </xf>
    <xf numFmtId="198" fontId="182" fillId="27" borderId="10" xfId="35" applyNumberFormat="1" applyFont="1" applyFill="1" applyBorder="1" applyAlignment="1" applyProtection="1">
      <alignment horizontal="center" vertical="center"/>
      <protection hidden="1"/>
    </xf>
    <xf numFmtId="198" fontId="182" fillId="27" borderId="27" xfId="35" applyNumberFormat="1" applyFont="1" applyFill="1" applyBorder="1" applyAlignment="1" applyProtection="1">
      <alignment horizontal="center" vertical="center"/>
      <protection hidden="1"/>
    </xf>
    <xf numFmtId="198" fontId="125" fillId="31" borderId="27" xfId="0" applyNumberFormat="1" applyFont="1" applyFill="1" applyBorder="1" applyAlignment="1" applyProtection="1">
      <alignment horizontal="center"/>
      <protection hidden="1"/>
    </xf>
    <xf numFmtId="198" fontId="125" fillId="31" borderId="10" xfId="0" applyNumberFormat="1" applyFont="1" applyFill="1" applyBorder="1" applyAlignment="1" applyProtection="1">
      <alignment horizontal="center"/>
      <protection hidden="1"/>
    </xf>
    <xf numFmtId="198" fontId="182" fillId="27" borderId="27" xfId="0" applyNumberFormat="1" applyFont="1" applyFill="1" applyBorder="1" applyAlignment="1" applyProtection="1">
      <alignment horizontal="center"/>
      <protection hidden="1"/>
    </xf>
    <xf numFmtId="198" fontId="182" fillId="27" borderId="10" xfId="0" applyNumberFormat="1" applyFont="1" applyFill="1" applyBorder="1" applyAlignment="1" applyProtection="1">
      <alignment horizontal="center"/>
      <protection hidden="1"/>
    </xf>
    <xf numFmtId="198" fontId="125" fillId="27" borderId="27" xfId="0" applyNumberFormat="1" applyFont="1" applyFill="1" applyBorder="1" applyAlignment="1" applyProtection="1">
      <alignment horizontal="center"/>
      <protection hidden="1"/>
    </xf>
    <xf numFmtId="198" fontId="125" fillId="27" borderId="10" xfId="0" applyNumberFormat="1" applyFont="1" applyFill="1" applyBorder="1" applyAlignment="1" applyProtection="1">
      <alignment horizontal="center"/>
      <protection hidden="1"/>
    </xf>
    <xf numFmtId="198" fontId="184" fillId="27" borderId="27" xfId="0" applyNumberFormat="1" applyFont="1" applyFill="1" applyBorder="1" applyAlignment="1" applyProtection="1">
      <alignment horizontal="center"/>
      <protection hidden="1"/>
    </xf>
    <xf numFmtId="198" fontId="33" fillId="27" borderId="27" xfId="0" applyNumberFormat="1" applyFont="1" applyFill="1" applyBorder="1" applyAlignment="1" applyProtection="1">
      <alignment horizontal="center"/>
      <protection hidden="1"/>
    </xf>
    <xf numFmtId="198" fontId="182" fillId="31" borderId="27" xfId="0" applyNumberFormat="1" applyFont="1" applyFill="1" applyBorder="1" applyAlignment="1" applyProtection="1">
      <alignment horizontal="center"/>
      <protection hidden="1"/>
    </xf>
    <xf numFmtId="198" fontId="182" fillId="31" borderId="10" xfId="0" applyNumberFormat="1" applyFont="1" applyFill="1" applyBorder="1" applyAlignment="1" applyProtection="1">
      <alignment horizontal="center"/>
      <protection hidden="1"/>
    </xf>
    <xf numFmtId="0" fontId="185" fillId="27" borderId="26" xfId="0" applyNumberFormat="1" applyFont="1" applyFill="1" applyBorder="1" applyAlignment="1" applyProtection="1">
      <alignment horizontal="left" vertical="center" shrinkToFit="1"/>
      <protection hidden="1"/>
    </xf>
    <xf numFmtId="38" fontId="33" fillId="27" borderId="10" xfId="35" applyFont="1" applyFill="1" applyBorder="1" applyAlignment="1" applyProtection="1">
      <alignment horizontal="center" vertical="center"/>
      <protection hidden="1"/>
    </xf>
    <xf numFmtId="0" fontId="33" fillId="27" borderId="26" xfId="0" applyFont="1" applyFill="1" applyBorder="1" applyAlignment="1" applyProtection="1">
      <alignment horizontal="center" vertical="center"/>
      <protection hidden="1"/>
    </xf>
    <xf numFmtId="181" fontId="28" fillId="27" borderId="12" xfId="0" applyNumberFormat="1" applyFont="1" applyFill="1" applyBorder="1" applyAlignment="1" applyProtection="1">
      <alignment vertical="center" wrapText="1"/>
      <protection hidden="1"/>
    </xf>
    <xf numFmtId="181" fontId="28" fillId="27" borderId="164" xfId="0" applyNumberFormat="1" applyFont="1" applyFill="1" applyBorder="1" applyAlignment="1" applyProtection="1">
      <alignment vertical="center" wrapText="1"/>
      <protection hidden="1"/>
    </xf>
    <xf numFmtId="0" fontId="37" fillId="27" borderId="27" xfId="0" applyFont="1" applyFill="1" applyBorder="1" applyAlignment="1" applyProtection="1">
      <alignment horizontal="right" vertical="center"/>
    </xf>
    <xf numFmtId="0" fontId="28" fillId="31" borderId="58" xfId="0" applyFont="1" applyFill="1" applyBorder="1" applyAlignment="1" applyProtection="1">
      <alignment horizontal="centerContinuous" vertical="center" wrapText="1"/>
      <protection hidden="1"/>
    </xf>
    <xf numFmtId="0" fontId="28" fillId="31" borderId="57" xfId="0" applyFont="1" applyFill="1" applyBorder="1" applyAlignment="1" applyProtection="1">
      <alignment horizontal="centerContinuous" vertical="center" wrapText="1"/>
      <protection hidden="1"/>
    </xf>
    <xf numFmtId="0" fontId="28" fillId="0" borderId="0" xfId="0" applyFont="1" applyAlignment="1">
      <alignment horizontal="right" vertical="top"/>
    </xf>
    <xf numFmtId="0" fontId="28" fillId="31" borderId="54" xfId="0" applyFont="1" applyFill="1" applyBorder="1" applyAlignment="1" applyProtection="1">
      <alignment horizontal="center" vertical="center"/>
      <protection hidden="1"/>
    </xf>
    <xf numFmtId="0" fontId="28" fillId="31" borderId="17" xfId="0" applyFont="1" applyFill="1" applyBorder="1" applyAlignment="1" applyProtection="1">
      <alignment horizontal="left" vertical="center"/>
      <protection hidden="1"/>
    </xf>
    <xf numFmtId="0" fontId="37" fillId="27" borderId="51" xfId="0" applyFont="1" applyFill="1" applyBorder="1" applyAlignment="1" applyProtection="1">
      <alignment vertical="center" wrapText="1"/>
      <protection hidden="1"/>
    </xf>
    <xf numFmtId="0" fontId="28" fillId="27" borderId="15" xfId="0" applyFont="1" applyFill="1" applyBorder="1" applyAlignment="1" applyProtection="1">
      <alignment vertical="center" wrapText="1"/>
      <protection hidden="1"/>
    </xf>
    <xf numFmtId="0" fontId="28" fillId="27" borderId="55" xfId="0" applyFont="1" applyFill="1" applyBorder="1" applyAlignment="1" applyProtection="1">
      <alignment vertical="center" wrapText="1"/>
      <protection hidden="1"/>
    </xf>
    <xf numFmtId="0" fontId="28" fillId="31" borderId="26" xfId="0" applyFont="1" applyFill="1" applyBorder="1" applyAlignment="1" applyProtection="1">
      <alignment horizontal="centerContinuous" vertical="center"/>
      <protection hidden="1"/>
    </xf>
    <xf numFmtId="0" fontId="28" fillId="31" borderId="26" xfId="0" applyFont="1" applyFill="1" applyBorder="1" applyAlignment="1" applyProtection="1">
      <alignment horizontal="centerContinuous" vertical="center" wrapText="1"/>
      <protection hidden="1"/>
    </xf>
    <xf numFmtId="0" fontId="28" fillId="31" borderId="17" xfId="0" applyFont="1" applyFill="1" applyBorder="1" applyAlignment="1" applyProtection="1">
      <alignment horizontal="center" vertical="center"/>
      <protection hidden="1"/>
    </xf>
    <xf numFmtId="226" fontId="0" fillId="0" borderId="10" xfId="0" applyNumberFormat="1" applyBorder="1">
      <alignment vertical="center"/>
    </xf>
    <xf numFmtId="40" fontId="0" fillId="0" borderId="10" xfId="0" applyNumberFormat="1" applyBorder="1">
      <alignment vertical="center"/>
    </xf>
    <xf numFmtId="0" fontId="28" fillId="27" borderId="0" xfId="0" applyFont="1" applyFill="1" applyBorder="1" applyProtection="1">
      <alignment vertical="center"/>
    </xf>
    <xf numFmtId="0" fontId="28" fillId="27" borderId="12" xfId="0" applyFont="1" applyFill="1" applyBorder="1" applyAlignment="1" applyProtection="1">
      <alignment horizontal="left" vertical="center" wrapText="1"/>
      <protection hidden="1"/>
    </xf>
    <xf numFmtId="0" fontId="28" fillId="27" borderId="50" xfId="0" applyFont="1" applyFill="1" applyBorder="1" applyAlignment="1" applyProtection="1">
      <alignment horizontal="center" vertical="center"/>
      <protection hidden="1"/>
    </xf>
    <xf numFmtId="0" fontId="28" fillId="27" borderId="27" xfId="0" applyFont="1" applyFill="1" applyBorder="1" applyAlignment="1" applyProtection="1">
      <alignment horizontal="center" vertical="center"/>
      <protection hidden="1"/>
    </xf>
    <xf numFmtId="0" fontId="28" fillId="38" borderId="89" xfId="0" applyFont="1" applyFill="1" applyBorder="1" applyAlignment="1" applyProtection="1">
      <alignment horizontal="left" wrapText="1"/>
      <protection hidden="1"/>
    </xf>
    <xf numFmtId="0" fontId="28" fillId="27" borderId="178" xfId="0" applyFont="1" applyFill="1" applyBorder="1" applyAlignment="1" applyProtection="1">
      <alignment horizontal="center" vertical="center"/>
      <protection hidden="1"/>
    </xf>
    <xf numFmtId="0" fontId="45" fillId="27" borderId="50" xfId="0" applyFont="1" applyFill="1" applyBorder="1" applyAlignment="1" applyProtection="1">
      <alignment horizontal="center" vertical="center" wrapText="1"/>
      <protection hidden="1"/>
    </xf>
    <xf numFmtId="0" fontId="28" fillId="38" borderId="112" xfId="0" applyFont="1" applyFill="1" applyBorder="1" applyAlignment="1" applyProtection="1">
      <alignment horizontal="left" wrapText="1"/>
      <protection hidden="1"/>
    </xf>
    <xf numFmtId="0" fontId="28" fillId="27" borderId="14" xfId="0" applyFont="1" applyFill="1" applyBorder="1" applyAlignment="1" applyProtection="1">
      <alignment horizontal="left" vertical="center"/>
      <protection hidden="1"/>
    </xf>
    <xf numFmtId="0" fontId="26" fillId="27" borderId="50" xfId="0" applyFont="1" applyFill="1" applyBorder="1" applyAlignment="1" applyProtection="1">
      <alignment vertical="center" wrapText="1"/>
      <protection hidden="1"/>
    </xf>
    <xf numFmtId="0" fontId="45" fillId="27" borderId="50" xfId="0" applyFont="1" applyFill="1" applyBorder="1" applyAlignment="1" applyProtection="1">
      <alignment vertical="center" wrapText="1"/>
      <protection hidden="1"/>
    </xf>
    <xf numFmtId="0" fontId="28" fillId="38" borderId="112" xfId="0" applyFont="1" applyFill="1" applyBorder="1" applyAlignment="1" applyProtection="1">
      <alignment horizontal="center" vertical="center"/>
    </xf>
    <xf numFmtId="0" fontId="6" fillId="38" borderId="53" xfId="0" applyFont="1" applyFill="1" applyBorder="1">
      <alignment vertical="center"/>
    </xf>
    <xf numFmtId="0" fontId="48" fillId="38" borderId="53" xfId="0" applyFont="1" applyFill="1" applyBorder="1" applyAlignment="1" applyProtection="1">
      <alignment horizontal="left" vertical="center"/>
      <protection hidden="1"/>
    </xf>
    <xf numFmtId="0" fontId="28" fillId="38" borderId="53" xfId="0" applyFont="1" applyFill="1" applyBorder="1" applyAlignment="1" applyProtection="1">
      <alignment horizontal="left" wrapText="1"/>
      <protection hidden="1"/>
    </xf>
    <xf numFmtId="0" fontId="28" fillId="27" borderId="50" xfId="0" applyFont="1" applyFill="1" applyBorder="1" applyAlignment="1" applyProtection="1">
      <alignment horizontal="center" vertical="center"/>
      <protection hidden="1"/>
    </xf>
    <xf numFmtId="0" fontId="28" fillId="27" borderId="27" xfId="0" applyFont="1" applyFill="1" applyBorder="1" applyAlignment="1" applyProtection="1">
      <alignment horizontal="center" vertical="center"/>
      <protection hidden="1"/>
    </xf>
    <xf numFmtId="0" fontId="28" fillId="27" borderId="13" xfId="0" applyFont="1" applyFill="1" applyBorder="1" applyAlignment="1" applyProtection="1">
      <alignment vertical="center" wrapText="1"/>
      <protection hidden="1"/>
    </xf>
    <xf numFmtId="181" fontId="26" fillId="38" borderId="73" xfId="0" applyNumberFormat="1" applyFont="1" applyFill="1" applyBorder="1" applyAlignment="1" applyProtection="1">
      <protection hidden="1"/>
    </xf>
    <xf numFmtId="203" fontId="26" fillId="27" borderId="26" xfId="0" applyNumberFormat="1" applyFont="1" applyFill="1" applyBorder="1" applyAlignment="1" applyProtection="1">
      <alignment horizontal="centerContinuous" vertical="center"/>
      <protection hidden="1"/>
    </xf>
    <xf numFmtId="0" fontId="26" fillId="27" borderId="27" xfId="0" applyFont="1" applyFill="1" applyBorder="1" applyAlignment="1" applyProtection="1">
      <alignment horizontal="centerContinuous" vertical="center"/>
      <protection hidden="1"/>
    </xf>
    <xf numFmtId="0" fontId="45" fillId="27" borderId="50" xfId="0" applyFont="1" applyFill="1" applyBorder="1" applyAlignment="1" applyProtection="1">
      <alignment horizontal="centerContinuous" vertical="center" wrapText="1"/>
      <protection hidden="1"/>
    </xf>
    <xf numFmtId="0" fontId="45" fillId="27" borderId="26" xfId="0" applyFont="1" applyFill="1" applyBorder="1" applyAlignment="1" applyProtection="1">
      <alignment horizontal="centerContinuous" vertical="center" wrapText="1"/>
      <protection hidden="1"/>
    </xf>
    <xf numFmtId="0" fontId="45" fillId="27" borderId="27" xfId="0" applyFont="1" applyFill="1" applyBorder="1" applyAlignment="1" applyProtection="1">
      <alignment horizontal="centerContinuous" vertical="center" wrapText="1"/>
      <protection hidden="1"/>
    </xf>
    <xf numFmtId="0" fontId="23" fillId="27" borderId="26" xfId="0" applyNumberFormat="1" applyFont="1" applyFill="1" applyBorder="1" applyAlignment="1" applyProtection="1">
      <alignment horizontal="centerContinuous" vertical="center"/>
      <protection hidden="1"/>
    </xf>
    <xf numFmtId="0" fontId="28" fillId="0" borderId="0" xfId="0" applyFont="1" applyProtection="1">
      <alignment vertical="center"/>
      <protection hidden="1"/>
    </xf>
    <xf numFmtId="0" fontId="28" fillId="0" borderId="0" xfId="0" applyFont="1" applyProtection="1">
      <alignment vertical="center"/>
      <protection hidden="1"/>
    </xf>
    <xf numFmtId="0" fontId="28" fillId="27" borderId="13" xfId="0" applyFont="1" applyFill="1" applyBorder="1" applyAlignment="1" applyProtection="1">
      <alignment horizontal="left" vertical="center" wrapText="1"/>
      <protection hidden="1"/>
    </xf>
    <xf numFmtId="0" fontId="28" fillId="27" borderId="14" xfId="0" applyFont="1" applyFill="1" applyBorder="1" applyAlignment="1" applyProtection="1">
      <alignment horizontal="left" vertical="center" wrapText="1"/>
      <protection hidden="1"/>
    </xf>
    <xf numFmtId="2" fontId="28" fillId="31" borderId="50" xfId="0" applyNumberFormat="1" applyFont="1" applyFill="1" applyBorder="1" applyAlignment="1" applyProtection="1">
      <alignment horizontal="center" vertical="center"/>
      <protection hidden="1"/>
    </xf>
    <xf numFmtId="0" fontId="26" fillId="27" borderId="175" xfId="0" applyFont="1" applyFill="1" applyBorder="1" applyAlignment="1" applyProtection="1">
      <alignment horizontal="centerContinuous" vertical="center"/>
      <protection hidden="1"/>
    </xf>
    <xf numFmtId="0" fontId="26" fillId="27" borderId="12" xfId="0" applyFont="1" applyFill="1" applyBorder="1" applyAlignment="1" applyProtection="1">
      <alignment horizontal="centerContinuous" vertical="center"/>
      <protection hidden="1"/>
    </xf>
    <xf numFmtId="0" fontId="26" fillId="27" borderId="56" xfId="0" applyFont="1" applyFill="1" applyBorder="1" applyAlignment="1" applyProtection="1">
      <alignment horizontal="centerContinuous" vertical="center"/>
      <protection hidden="1"/>
    </xf>
    <xf numFmtId="0" fontId="28" fillId="53" borderId="56" xfId="0" applyFont="1" applyFill="1" applyBorder="1" applyAlignment="1" applyProtection="1">
      <alignment horizontal="centerContinuous" vertical="center"/>
      <protection hidden="1"/>
    </xf>
    <xf numFmtId="0" fontId="0" fillId="53" borderId="57" xfId="0" applyFill="1" applyBorder="1" applyAlignment="1">
      <alignment horizontal="centerContinuous" vertical="center"/>
    </xf>
    <xf numFmtId="0" fontId="0" fillId="53" borderId="58" xfId="0" applyFill="1" applyBorder="1" applyAlignment="1">
      <alignment horizontal="centerContinuous" vertical="center"/>
    </xf>
    <xf numFmtId="201" fontId="26" fillId="31" borderId="51" xfId="0" applyNumberFormat="1" applyFont="1" applyFill="1" applyBorder="1" applyAlignment="1" applyProtection="1">
      <alignment horizontal="center" vertical="center"/>
      <protection hidden="1"/>
    </xf>
    <xf numFmtId="0" fontId="186" fillId="0" borderId="0" xfId="0" applyFont="1" applyFill="1" applyAlignment="1" applyProtection="1">
      <alignment horizontal="left" vertical="center"/>
      <protection hidden="1"/>
    </xf>
    <xf numFmtId="0" fontId="28" fillId="27" borderId="15" xfId="0" applyNumberFormat="1" applyFont="1" applyFill="1" applyBorder="1" applyAlignment="1" applyProtection="1">
      <alignment horizontal="left" vertical="center" wrapText="1"/>
      <protection hidden="1"/>
    </xf>
    <xf numFmtId="0" fontId="28" fillId="27" borderId="55" xfId="0" applyNumberFormat="1" applyFont="1" applyFill="1" applyBorder="1" applyAlignment="1" applyProtection="1">
      <alignment horizontal="left" vertical="center" wrapText="1"/>
      <protection hidden="1"/>
    </xf>
    <xf numFmtId="0" fontId="28" fillId="27" borderId="52" xfId="0" applyNumberFormat="1" applyFont="1" applyFill="1" applyBorder="1" applyAlignment="1" applyProtection="1">
      <alignment horizontal="center" vertical="center"/>
      <protection hidden="1"/>
    </xf>
    <xf numFmtId="0" fontId="28" fillId="27" borderId="53" xfId="0" applyNumberFormat="1" applyFont="1" applyFill="1" applyBorder="1" applyAlignment="1" applyProtection="1">
      <alignment horizontal="center" vertical="center"/>
      <protection hidden="1"/>
    </xf>
    <xf numFmtId="2" fontId="28" fillId="27" borderId="54" xfId="0" applyNumberFormat="1" applyFont="1" applyFill="1" applyBorder="1" applyAlignment="1" applyProtection="1">
      <alignment horizontal="left" vertical="center"/>
      <protection hidden="1"/>
    </xf>
    <xf numFmtId="0" fontId="28" fillId="27" borderId="64" xfId="0" applyNumberFormat="1" applyFont="1" applyFill="1" applyBorder="1" applyAlignment="1" applyProtection="1">
      <alignment horizontal="center" vertical="center"/>
      <protection hidden="1"/>
    </xf>
    <xf numFmtId="0" fontId="28" fillId="27" borderId="0" xfId="0" applyNumberFormat="1" applyFont="1" applyFill="1" applyBorder="1" applyAlignment="1" applyProtection="1">
      <alignment horizontal="center" vertical="center"/>
      <protection hidden="1"/>
    </xf>
    <xf numFmtId="2" fontId="28" fillId="27" borderId="17" xfId="0" applyNumberFormat="1" applyFont="1" applyFill="1" applyBorder="1" applyAlignment="1" applyProtection="1">
      <alignment horizontal="left" vertical="center"/>
      <protection hidden="1"/>
    </xf>
    <xf numFmtId="2" fontId="28" fillId="27" borderId="17" xfId="0" applyNumberFormat="1" applyFont="1" applyFill="1" applyBorder="1" applyAlignment="1" applyProtection="1">
      <alignment horizontal="left" vertical="center" wrapText="1"/>
      <protection hidden="1"/>
    </xf>
    <xf numFmtId="2" fontId="28" fillId="27" borderId="58" xfId="0" applyNumberFormat="1" applyFont="1" applyFill="1" applyBorder="1" applyAlignment="1" applyProtection="1">
      <alignment horizontal="left" vertical="center"/>
      <protection hidden="1"/>
    </xf>
    <xf numFmtId="193" fontId="28" fillId="31" borderId="27" xfId="0" applyNumberFormat="1" applyFont="1" applyFill="1" applyBorder="1" applyAlignment="1" applyProtection="1">
      <alignment horizontal="center" vertical="center"/>
      <protection hidden="1"/>
    </xf>
    <xf numFmtId="0" fontId="28" fillId="31" borderId="53" xfId="0" applyFont="1" applyFill="1" applyBorder="1" applyAlignment="1" applyProtection="1">
      <alignment horizontal="centerContinuous" vertical="center" wrapText="1"/>
      <protection hidden="1"/>
    </xf>
    <xf numFmtId="179" fontId="28" fillId="31" borderId="26" xfId="0" applyNumberFormat="1" applyFont="1" applyFill="1" applyBorder="1" applyAlignment="1" applyProtection="1">
      <alignment horizontal="center" vertical="center"/>
      <protection hidden="1"/>
    </xf>
    <xf numFmtId="0" fontId="28" fillId="31" borderId="52" xfId="0" applyFont="1" applyFill="1" applyBorder="1" applyAlignment="1" applyProtection="1">
      <alignment horizontal="centerContinuous" vertical="center"/>
      <protection hidden="1"/>
    </xf>
    <xf numFmtId="0" fontId="28" fillId="53" borderId="26" xfId="0" applyFont="1" applyFill="1" applyBorder="1" applyAlignment="1" applyProtection="1">
      <alignment horizontal="centerContinuous" vertical="center"/>
      <protection hidden="1"/>
    </xf>
    <xf numFmtId="0" fontId="28" fillId="53" borderId="53" xfId="0" applyFont="1" applyFill="1" applyBorder="1">
      <alignment vertical="center"/>
    </xf>
    <xf numFmtId="0" fontId="6" fillId="53" borderId="53" xfId="0" applyFont="1" applyFill="1" applyBorder="1">
      <alignment vertical="center"/>
    </xf>
    <xf numFmtId="0" fontId="6" fillId="53" borderId="54" xfId="0" applyFont="1" applyFill="1" applyBorder="1">
      <alignment vertical="center"/>
    </xf>
    <xf numFmtId="0" fontId="28" fillId="51" borderId="52" xfId="0" applyFont="1" applyFill="1" applyBorder="1">
      <alignment vertical="center"/>
    </xf>
    <xf numFmtId="0" fontId="6" fillId="51" borderId="53" xfId="0" applyFont="1" applyFill="1" applyBorder="1">
      <alignment vertical="center"/>
    </xf>
    <xf numFmtId="0" fontId="6" fillId="51" borderId="54" xfId="0" applyFont="1" applyFill="1" applyBorder="1">
      <alignment vertical="center"/>
    </xf>
    <xf numFmtId="0" fontId="28" fillId="51" borderId="64" xfId="0" applyFont="1" applyFill="1" applyBorder="1">
      <alignment vertical="center"/>
    </xf>
    <xf numFmtId="0" fontId="6" fillId="51" borderId="0" xfId="0" applyFont="1" applyFill="1" applyBorder="1">
      <alignment vertical="center"/>
    </xf>
    <xf numFmtId="0" fontId="6" fillId="51" borderId="17" xfId="0" applyFont="1" applyFill="1" applyBorder="1">
      <alignment vertical="center"/>
    </xf>
    <xf numFmtId="0" fontId="28" fillId="51" borderId="56" xfId="0" applyFont="1" applyFill="1" applyBorder="1">
      <alignment vertical="center"/>
    </xf>
    <xf numFmtId="0" fontId="6" fillId="51" borderId="57" xfId="0" applyFont="1" applyFill="1" applyBorder="1">
      <alignment vertical="center"/>
    </xf>
    <xf numFmtId="0" fontId="6" fillId="51" borderId="58" xfId="0" applyFont="1" applyFill="1" applyBorder="1">
      <alignment vertical="center"/>
    </xf>
    <xf numFmtId="0" fontId="28" fillId="0" borderId="0" xfId="0" applyFont="1" applyFill="1" applyBorder="1" applyAlignment="1" applyProtection="1">
      <alignment horizontal="center" vertical="center"/>
      <protection hidden="1"/>
    </xf>
    <xf numFmtId="0" fontId="28" fillId="27" borderId="10" xfId="0" applyFont="1" applyFill="1" applyBorder="1" applyAlignment="1" applyProtection="1">
      <alignment horizontal="center" vertical="center"/>
      <protection locked="0"/>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0" fontId="28" fillId="27" borderId="181" xfId="0" applyFont="1" applyFill="1" applyBorder="1" applyAlignment="1" applyProtection="1">
      <alignment vertical="center" wrapText="1"/>
      <protection hidden="1"/>
    </xf>
    <xf numFmtId="0" fontId="0" fillId="63" borderId="0" xfId="0" applyFill="1">
      <alignment vertical="center"/>
    </xf>
    <xf numFmtId="0" fontId="28" fillId="31" borderId="58" xfId="0" applyFont="1" applyFill="1" applyBorder="1" applyAlignment="1" applyProtection="1">
      <alignment horizontal="centerContinuous" vertical="center"/>
      <protection hidden="1"/>
    </xf>
    <xf numFmtId="0" fontId="26" fillId="27" borderId="163" xfId="0" applyFont="1" applyFill="1" applyBorder="1" applyAlignment="1" applyProtection="1">
      <alignment horizontal="center" vertical="center"/>
      <protection hidden="1"/>
    </xf>
    <xf numFmtId="0" fontId="26" fillId="27" borderId="167" xfId="0" applyFont="1" applyFill="1" applyBorder="1" applyAlignment="1" applyProtection="1">
      <alignment horizontal="center" vertical="center"/>
      <protection hidden="1"/>
    </xf>
    <xf numFmtId="0" fontId="26" fillId="27" borderId="168" xfId="0" applyFont="1" applyFill="1" applyBorder="1" applyAlignment="1" applyProtection="1">
      <alignment horizontal="center" vertical="center"/>
      <protection hidden="1"/>
    </xf>
    <xf numFmtId="0" fontId="28" fillId="27" borderId="165" xfId="0" applyFont="1" applyFill="1" applyBorder="1" applyAlignment="1" applyProtection="1">
      <alignment vertical="center" wrapText="1"/>
      <protection hidden="1"/>
    </xf>
    <xf numFmtId="0" fontId="28" fillId="27" borderId="171" xfId="0" applyFont="1" applyFill="1" applyBorder="1" applyAlignment="1" applyProtection="1">
      <alignment vertical="center" wrapText="1"/>
      <protection hidden="1"/>
    </xf>
    <xf numFmtId="0" fontId="26" fillId="38" borderId="0" xfId="0" applyFont="1" applyFill="1" applyBorder="1" applyAlignment="1" applyProtection="1">
      <protection hidden="1"/>
    </xf>
    <xf numFmtId="0" fontId="6" fillId="27" borderId="165" xfId="0" applyFont="1" applyFill="1" applyBorder="1" applyAlignment="1">
      <alignment vertical="center"/>
    </xf>
    <xf numFmtId="0" fontId="6" fillId="27" borderId="166" xfId="0" applyFont="1" applyFill="1" applyBorder="1" applyAlignment="1">
      <alignment vertical="center"/>
    </xf>
    <xf numFmtId="0" fontId="26" fillId="27" borderId="172" xfId="0" applyFont="1" applyFill="1" applyBorder="1" applyAlignment="1" applyProtection="1">
      <alignment horizontal="center" vertical="center"/>
      <protection locked="0" hidden="1"/>
    </xf>
    <xf numFmtId="0" fontId="28" fillId="27" borderId="166" xfId="0" applyFont="1" applyFill="1" applyBorder="1" applyAlignment="1" applyProtection="1">
      <alignment vertical="center" wrapText="1"/>
      <protection hidden="1"/>
    </xf>
    <xf numFmtId="0" fontId="26" fillId="27" borderId="173" xfId="0" applyFont="1" applyFill="1" applyBorder="1" applyAlignment="1" applyProtection="1">
      <alignment horizontal="center" vertical="center"/>
      <protection locked="0" hidden="1"/>
    </xf>
    <xf numFmtId="0" fontId="28" fillId="27" borderId="201" xfId="0" applyFont="1" applyFill="1" applyBorder="1" applyAlignment="1" applyProtection="1">
      <alignment vertical="center"/>
      <protection hidden="1"/>
    </xf>
    <xf numFmtId="0" fontId="28" fillId="27" borderId="182" xfId="0" applyFont="1" applyFill="1" applyBorder="1" applyAlignment="1" applyProtection="1">
      <alignment vertical="center" wrapText="1"/>
      <protection hidden="1"/>
    </xf>
    <xf numFmtId="0" fontId="26" fillId="27" borderId="188" xfId="0" applyFont="1" applyFill="1" applyBorder="1" applyAlignment="1" applyProtection="1">
      <alignment horizontal="center" vertical="center"/>
      <protection locked="0" hidden="1"/>
    </xf>
    <xf numFmtId="0" fontId="28" fillId="27" borderId="14" xfId="0" applyFont="1" applyFill="1" applyBorder="1" applyAlignment="1" applyProtection="1">
      <alignment vertical="center" wrapText="1"/>
      <protection hidden="1"/>
    </xf>
    <xf numFmtId="0" fontId="28" fillId="31" borderId="80" xfId="0" applyFont="1" applyFill="1" applyBorder="1" applyAlignment="1" applyProtection="1">
      <alignment horizontal="centerContinuous" vertical="center"/>
      <protection hidden="1"/>
    </xf>
    <xf numFmtId="0" fontId="28" fillId="31" borderId="50" xfId="0" applyFont="1" applyFill="1" applyBorder="1" applyAlignment="1" applyProtection="1">
      <alignment horizontal="centerContinuous" vertical="top"/>
      <protection hidden="1"/>
    </xf>
    <xf numFmtId="0" fontId="28" fillId="27" borderId="165" xfId="0" applyFont="1" applyFill="1" applyBorder="1" applyAlignment="1" applyProtection="1">
      <alignment horizontal="left" vertical="top"/>
      <protection hidden="1"/>
    </xf>
    <xf numFmtId="0" fontId="28" fillId="27" borderId="13" xfId="0" applyFont="1" applyFill="1" applyBorder="1" applyAlignment="1" applyProtection="1">
      <alignment horizontal="left" vertical="top"/>
      <protection hidden="1"/>
    </xf>
    <xf numFmtId="0" fontId="28" fillId="27" borderId="171" xfId="0" applyFont="1" applyFill="1" applyBorder="1" applyAlignment="1" applyProtection="1">
      <alignment horizontal="left" vertical="top"/>
      <protection hidden="1"/>
    </xf>
    <xf numFmtId="0" fontId="28" fillId="27" borderId="181" xfId="0" applyFont="1" applyFill="1" applyBorder="1" applyAlignment="1" applyProtection="1">
      <alignment vertical="center"/>
      <protection hidden="1"/>
    </xf>
    <xf numFmtId="0" fontId="180" fillId="0" borderId="0" xfId="0" applyFont="1" applyAlignment="1" applyProtection="1">
      <alignment vertical="center"/>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208" fontId="45" fillId="27" borderId="50" xfId="0" applyNumberFormat="1" applyFont="1" applyFill="1" applyBorder="1" applyAlignment="1" applyProtection="1">
      <alignment vertical="center" wrapText="1"/>
      <protection hidden="1"/>
    </xf>
    <xf numFmtId="0" fontId="6" fillId="27" borderId="73" xfId="0" applyFont="1" applyFill="1" applyBorder="1" applyAlignment="1" applyProtection="1"/>
    <xf numFmtId="178" fontId="33" fillId="39" borderId="144" xfId="0" applyNumberFormat="1" applyFont="1" applyFill="1" applyBorder="1" applyProtection="1">
      <alignment vertical="center"/>
      <protection locked="0"/>
    </xf>
    <xf numFmtId="0" fontId="33" fillId="27" borderId="10" xfId="0" applyFont="1" applyFill="1" applyBorder="1" applyAlignment="1" applyProtection="1">
      <alignment horizontal="center" vertical="center"/>
    </xf>
    <xf numFmtId="0" fontId="28" fillId="27" borderId="0" xfId="0" applyFont="1" applyFill="1" applyBorder="1" applyAlignment="1" applyProtection="1">
      <alignment horizontal="right" vertical="top"/>
    </xf>
    <xf numFmtId="203" fontId="33" fillId="27" borderId="10" xfId="0" applyNumberFormat="1" applyFont="1" applyFill="1" applyBorder="1" applyAlignment="1" applyProtection="1">
      <alignment horizontal="center" vertical="center"/>
    </xf>
    <xf numFmtId="0" fontId="28" fillId="27" borderId="0" xfId="0" applyFont="1" applyFill="1" applyBorder="1" applyAlignment="1" applyProtection="1">
      <alignment vertical="center" wrapText="1"/>
    </xf>
    <xf numFmtId="0" fontId="28" fillId="27" borderId="63" xfId="0" applyFont="1" applyFill="1" applyBorder="1" applyAlignment="1" applyProtection="1">
      <alignment vertical="center" wrapText="1"/>
    </xf>
    <xf numFmtId="38" fontId="33" fillId="41" borderId="144" xfId="35" applyFont="1" applyFill="1" applyBorder="1" applyAlignment="1" applyProtection="1">
      <alignment horizontal="center" vertical="center" shrinkToFit="1"/>
      <protection locked="0"/>
    </xf>
    <xf numFmtId="0" fontId="37" fillId="27" borderId="0" xfId="0" applyFont="1" applyFill="1" applyBorder="1" applyAlignment="1" applyProtection="1">
      <alignment horizontal="right" vertical="top"/>
    </xf>
    <xf numFmtId="0" fontId="33" fillId="27" borderId="0" xfId="0" applyFont="1" applyFill="1" applyBorder="1" applyAlignment="1" applyProtection="1">
      <alignment horizontal="right" vertical="top"/>
    </xf>
    <xf numFmtId="0" fontId="37" fillId="27" borderId="0" xfId="0" applyFont="1" applyFill="1" applyBorder="1" applyAlignment="1" applyProtection="1">
      <alignment vertical="top"/>
    </xf>
    <xf numFmtId="0" fontId="37" fillId="27" borderId="0" xfId="0" applyFont="1" applyFill="1" applyBorder="1" applyAlignment="1" applyProtection="1">
      <alignment vertical="center" wrapText="1"/>
    </xf>
    <xf numFmtId="0" fontId="28" fillId="27" borderId="10" xfId="0" applyFont="1" applyFill="1" applyBorder="1" applyAlignment="1" applyProtection="1">
      <alignment horizontal="center" vertical="center"/>
    </xf>
    <xf numFmtId="0" fontId="28" fillId="27" borderId="0" xfId="0" applyFont="1" applyFill="1" applyBorder="1" applyAlignment="1" applyProtection="1">
      <alignment vertical="top" wrapText="1"/>
    </xf>
    <xf numFmtId="203" fontId="33" fillId="27" borderId="144" xfId="0" applyNumberFormat="1" applyFont="1" applyFill="1" applyBorder="1" applyAlignment="1" applyProtection="1">
      <alignment horizontal="center" vertical="center"/>
    </xf>
    <xf numFmtId="178" fontId="33" fillId="59" borderId="144" xfId="0" applyNumberFormat="1" applyFont="1" applyFill="1" applyBorder="1" applyProtection="1">
      <alignment vertical="center"/>
      <protection locked="0"/>
    </xf>
    <xf numFmtId="0" fontId="180" fillId="27" borderId="0" xfId="0" applyFont="1" applyFill="1" applyBorder="1" applyAlignment="1" applyProtection="1">
      <alignment horizontal="left" vertical="center"/>
    </xf>
    <xf numFmtId="0" fontId="180" fillId="27" borderId="0" xfId="0" applyFont="1" applyFill="1" applyBorder="1" applyProtection="1">
      <alignment vertical="center"/>
    </xf>
    <xf numFmtId="0" fontId="28" fillId="27" borderId="0" xfId="0" applyFont="1" applyFill="1" applyBorder="1" applyAlignment="1" applyProtection="1">
      <alignment vertical="center"/>
    </xf>
    <xf numFmtId="0" fontId="28" fillId="27" borderId="0" xfId="0" applyFont="1" applyFill="1" applyBorder="1" applyAlignment="1" applyProtection="1">
      <alignment horizontal="left" vertical="center" wrapText="1"/>
    </xf>
    <xf numFmtId="203" fontId="33" fillId="27" borderId="0" xfId="0" applyNumberFormat="1" applyFont="1" applyFill="1" applyBorder="1" applyAlignment="1" applyProtection="1">
      <alignment horizontal="center" vertical="center"/>
    </xf>
    <xf numFmtId="219" fontId="0" fillId="50" borderId="0" xfId="0" applyNumberFormat="1" applyFill="1">
      <alignment vertical="center"/>
    </xf>
    <xf numFmtId="0" fontId="33" fillId="31" borderId="27" xfId="44" applyFont="1" applyFill="1" applyBorder="1" applyAlignment="1" applyProtection="1">
      <alignment horizontal="center" vertical="center"/>
    </xf>
    <xf numFmtId="226" fontId="33" fillId="27" borderId="10" xfId="0" applyNumberFormat="1" applyFont="1" applyFill="1" applyBorder="1" applyProtection="1">
      <alignment vertical="center"/>
    </xf>
    <xf numFmtId="2" fontId="33" fillId="27" borderId="10" xfId="28" applyNumberFormat="1" applyFont="1" applyFill="1" applyBorder="1" applyProtection="1">
      <alignment vertical="center"/>
    </xf>
    <xf numFmtId="2" fontId="33" fillId="27" borderId="10" xfId="0" applyNumberFormat="1" applyFont="1" applyFill="1" applyBorder="1" applyProtection="1">
      <alignment vertical="center"/>
    </xf>
    <xf numFmtId="2" fontId="33" fillId="27" borderId="27" xfId="0" applyNumberFormat="1" applyFont="1" applyFill="1" applyBorder="1" applyProtection="1">
      <alignment vertical="center"/>
    </xf>
    <xf numFmtId="0" fontId="26" fillId="27" borderId="0" xfId="0" applyFont="1" applyFill="1" applyBorder="1" applyProtection="1">
      <alignment vertical="center"/>
    </xf>
    <xf numFmtId="226" fontId="33" fillId="59" borderId="10" xfId="0" applyNumberFormat="1" applyFont="1" applyFill="1" applyBorder="1" applyProtection="1">
      <alignment vertical="center"/>
      <protection locked="0"/>
    </xf>
    <xf numFmtId="226" fontId="33" fillId="27" borderId="0" xfId="0" applyNumberFormat="1" applyFont="1" applyFill="1" applyBorder="1" applyProtection="1">
      <alignment vertical="center"/>
    </xf>
    <xf numFmtId="2" fontId="33" fillId="27" borderId="0" xfId="28" applyNumberFormat="1" applyFont="1" applyFill="1" applyBorder="1" applyProtection="1">
      <alignment vertical="center"/>
    </xf>
    <xf numFmtId="2" fontId="33" fillId="27" borderId="0" xfId="0" applyNumberFormat="1" applyFont="1" applyFill="1" applyBorder="1" applyProtection="1">
      <alignment vertical="center"/>
    </xf>
    <xf numFmtId="0" fontId="26" fillId="27" borderId="0" xfId="0" applyFont="1" applyFill="1" applyBorder="1" applyAlignment="1" applyProtection="1">
      <alignment horizontal="right" vertical="center"/>
    </xf>
    <xf numFmtId="0" fontId="190" fillId="27" borderId="0" xfId="0" applyFont="1" applyFill="1" applyBorder="1" applyProtection="1">
      <alignment vertical="center"/>
    </xf>
    <xf numFmtId="0" fontId="191" fillId="27" borderId="0" xfId="0" applyFont="1" applyFill="1" applyBorder="1" applyAlignment="1" applyProtection="1">
      <alignment horizontal="right" vertical="center"/>
    </xf>
    <xf numFmtId="178" fontId="190" fillId="59" borderId="144" xfId="0" applyNumberFormat="1" applyFont="1" applyFill="1" applyBorder="1" applyProtection="1">
      <alignment vertical="center"/>
      <protection locked="0"/>
    </xf>
    <xf numFmtId="203" fontId="33" fillId="27" borderId="144" xfId="0" applyNumberFormat="1" applyFont="1" applyFill="1" applyBorder="1" applyAlignment="1" applyProtection="1">
      <alignment horizontal="left" vertical="center"/>
    </xf>
    <xf numFmtId="0" fontId="192" fillId="27" borderId="0" xfId="0" applyFont="1" applyFill="1" applyBorder="1" applyProtection="1">
      <alignment vertical="center"/>
    </xf>
    <xf numFmtId="0" fontId="125" fillId="27" borderId="0" xfId="0" quotePrefix="1" applyFont="1" applyFill="1" applyBorder="1" applyProtection="1">
      <alignment vertical="center"/>
    </xf>
    <xf numFmtId="0" fontId="28" fillId="27" borderId="51" xfId="0" applyFont="1" applyFill="1" applyBorder="1" applyAlignment="1" applyProtection="1">
      <alignment horizontal="center"/>
    </xf>
    <xf numFmtId="0" fontId="33" fillId="27" borderId="50" xfId="0" applyFont="1" applyFill="1" applyBorder="1" applyProtection="1">
      <alignment vertical="center"/>
    </xf>
    <xf numFmtId="0" fontId="125" fillId="27" borderId="50" xfId="0" applyFont="1" applyFill="1" applyBorder="1" applyProtection="1">
      <alignment vertical="center"/>
    </xf>
    <xf numFmtId="0" fontId="28" fillId="27" borderId="55" xfId="0" applyFont="1" applyFill="1" applyBorder="1" applyAlignment="1" applyProtection="1">
      <alignment horizontal="center"/>
    </xf>
    <xf numFmtId="0" fontId="28" fillId="27" borderId="50" xfId="0" applyFont="1" applyFill="1" applyBorder="1" applyAlignment="1" applyProtection="1">
      <alignment horizontal="center" vertical="center"/>
    </xf>
    <xf numFmtId="0" fontId="28" fillId="27" borderId="10" xfId="0" applyFont="1" applyFill="1" applyBorder="1" applyAlignment="1" applyProtection="1">
      <alignment vertical="center" wrapText="1"/>
    </xf>
    <xf numFmtId="40" fontId="33" fillId="41" borderId="10" xfId="35" applyNumberFormat="1" applyFont="1" applyFill="1" applyBorder="1" applyAlignment="1" applyProtection="1">
      <alignment horizontal="right" vertical="center"/>
      <protection locked="0"/>
    </xf>
    <xf numFmtId="0" fontId="180" fillId="27" borderId="66" xfId="0" applyFont="1" applyFill="1" applyBorder="1" applyAlignment="1" applyProtection="1">
      <alignment vertical="center"/>
    </xf>
    <xf numFmtId="0" fontId="125" fillId="27" borderId="66" xfId="0" applyFont="1" applyFill="1" applyBorder="1" applyAlignment="1" applyProtection="1">
      <alignment vertical="center"/>
    </xf>
    <xf numFmtId="178" fontId="28" fillId="27" borderId="0" xfId="0" applyNumberFormat="1" applyFont="1" applyFill="1" applyBorder="1" applyAlignment="1" applyProtection="1">
      <alignment horizontal="left" vertical="center"/>
    </xf>
    <xf numFmtId="0" fontId="28" fillId="27" borderId="0" xfId="44" applyFont="1" applyFill="1" applyBorder="1" applyAlignment="1" applyProtection="1"/>
    <xf numFmtId="0" fontId="33" fillId="27" borderId="51" xfId="0" applyFont="1" applyFill="1" applyBorder="1" applyAlignment="1" applyProtection="1">
      <alignment vertical="top"/>
    </xf>
    <xf numFmtId="0" fontId="33" fillId="27" borderId="26" xfId="0" applyFont="1" applyFill="1" applyBorder="1" applyAlignment="1" applyProtection="1">
      <alignment vertical="top"/>
    </xf>
    <xf numFmtId="0" fontId="33" fillId="27" borderId="27" xfId="0" applyFont="1" applyFill="1" applyBorder="1" applyAlignment="1" applyProtection="1">
      <alignment vertical="top"/>
    </xf>
    <xf numFmtId="218" fontId="33" fillId="27" borderId="10" xfId="0" applyNumberFormat="1" applyFont="1" applyFill="1" applyBorder="1" applyProtection="1">
      <alignment vertical="center"/>
    </xf>
    <xf numFmtId="0" fontId="33" fillId="27" borderId="55" xfId="0" applyFont="1" applyFill="1" applyBorder="1" applyAlignment="1" applyProtection="1">
      <alignment vertical="top"/>
    </xf>
    <xf numFmtId="0" fontId="33" fillId="27" borderId="15" xfId="0" applyFont="1" applyFill="1" applyBorder="1" applyAlignment="1" applyProtection="1">
      <alignment vertical="top"/>
    </xf>
    <xf numFmtId="0" fontId="33" fillId="27" borderId="52" xfId="0" applyFont="1" applyFill="1" applyBorder="1" applyAlignment="1" applyProtection="1">
      <alignment vertical="top"/>
    </xf>
    <xf numFmtId="0" fontId="33" fillId="27" borderId="10" xfId="0" applyFont="1" applyFill="1" applyBorder="1" applyAlignment="1" applyProtection="1">
      <alignment vertical="top"/>
    </xf>
    <xf numFmtId="0" fontId="33" fillId="27" borderId="56" xfId="0" applyFont="1" applyFill="1" applyBorder="1" applyAlignment="1" applyProtection="1">
      <alignment vertical="top"/>
    </xf>
    <xf numFmtId="0" fontId="33" fillId="27" borderId="50" xfId="0" applyFont="1" applyFill="1" applyBorder="1" applyAlignment="1" applyProtection="1">
      <alignment vertical="top"/>
    </xf>
    <xf numFmtId="0" fontId="33" fillId="27" borderId="54" xfId="0" applyFont="1" applyFill="1" applyBorder="1" applyAlignment="1" applyProtection="1">
      <alignment vertical="top"/>
    </xf>
    <xf numFmtId="218" fontId="33" fillId="27" borderId="51" xfId="0" applyNumberFormat="1" applyFont="1" applyFill="1" applyBorder="1" applyProtection="1">
      <alignment vertical="center"/>
    </xf>
    <xf numFmtId="218" fontId="33" fillId="27" borderId="144" xfId="0" applyNumberFormat="1" applyFont="1" applyFill="1" applyBorder="1" applyProtection="1">
      <alignment vertical="center"/>
    </xf>
    <xf numFmtId="0" fontId="28" fillId="27" borderId="0" xfId="0" applyFont="1" applyFill="1" applyBorder="1" applyAlignment="1" applyProtection="1">
      <alignment horizontal="right" vertical="center"/>
    </xf>
    <xf numFmtId="178" fontId="33" fillId="27" borderId="0" xfId="0" applyNumberFormat="1" applyFont="1" applyFill="1" applyBorder="1" applyAlignment="1" applyProtection="1">
      <alignment horizontal="right" vertical="center"/>
    </xf>
    <xf numFmtId="177" fontId="33" fillId="27" borderId="10" xfId="44" applyNumberFormat="1" applyFont="1" applyFill="1" applyBorder="1" applyAlignment="1" applyProtection="1">
      <alignment vertical="center"/>
    </xf>
    <xf numFmtId="40" fontId="33" fillId="27" borderId="10" xfId="35" applyNumberFormat="1" applyFont="1" applyFill="1" applyBorder="1" applyProtection="1">
      <alignment vertical="center"/>
    </xf>
    <xf numFmtId="190" fontId="33" fillId="27" borderId="10" xfId="44" applyNumberFormat="1" applyFont="1" applyFill="1" applyBorder="1" applyAlignment="1" applyProtection="1">
      <alignment vertical="center"/>
    </xf>
    <xf numFmtId="0" fontId="28" fillId="27" borderId="0" xfId="0" applyFont="1" applyFill="1" applyBorder="1" applyAlignment="1" applyProtection="1">
      <alignment horizontal="left" vertical="center"/>
    </xf>
    <xf numFmtId="38" fontId="33" fillId="27" borderId="10" xfId="35" applyNumberFormat="1" applyFont="1" applyFill="1" applyBorder="1" applyAlignment="1" applyProtection="1">
      <alignment horizontal="right" vertical="center"/>
    </xf>
    <xf numFmtId="0" fontId="28" fillId="27" borderId="0" xfId="44" applyFont="1" applyFill="1" applyBorder="1" applyAlignment="1" applyProtection="1">
      <alignment horizontal="left"/>
    </xf>
    <xf numFmtId="0" fontId="28" fillId="0" borderId="0" xfId="0" applyFont="1" applyAlignment="1">
      <alignment vertical="top"/>
    </xf>
    <xf numFmtId="189" fontId="28" fillId="0" borderId="50" xfId="0" applyNumberFormat="1" applyFont="1" applyFill="1" applyBorder="1" applyAlignment="1" applyProtection="1">
      <alignment horizontal="center" vertical="center" wrapText="1"/>
      <protection locked="0"/>
    </xf>
    <xf numFmtId="185" fontId="36" fillId="27" borderId="143" xfId="0" applyNumberFormat="1" applyFont="1" applyFill="1" applyBorder="1" applyAlignment="1" applyProtection="1">
      <alignment horizontal="center" vertical="center"/>
      <protection hidden="1"/>
    </xf>
    <xf numFmtId="185" fontId="36" fillId="0" borderId="92" xfId="0" applyNumberFormat="1" applyFont="1" applyFill="1" applyBorder="1" applyAlignment="1" applyProtection="1">
      <alignment horizontal="center" vertical="center"/>
      <protection locked="0"/>
    </xf>
    <xf numFmtId="177" fontId="53" fillId="0" borderId="10" xfId="0" applyNumberFormat="1" applyFont="1" applyFill="1" applyBorder="1" applyAlignment="1" applyProtection="1">
      <alignment horizontal="center" vertical="center"/>
      <protection hidden="1"/>
    </xf>
    <xf numFmtId="185" fontId="36" fillId="27" borderId="273" xfId="0" applyNumberFormat="1" applyFont="1" applyFill="1" applyBorder="1" applyAlignment="1" applyProtection="1">
      <alignment horizontal="center" vertical="center"/>
      <protection hidden="1"/>
    </xf>
    <xf numFmtId="185" fontId="29" fillId="0" borderId="92" xfId="0" applyNumberFormat="1" applyFont="1" applyFill="1" applyBorder="1" applyAlignment="1" applyProtection="1">
      <alignment horizontal="center" vertical="center"/>
      <protection locked="0"/>
    </xf>
    <xf numFmtId="185" fontId="29" fillId="0" borderId="100" xfId="0" applyNumberFormat="1" applyFont="1" applyFill="1" applyBorder="1" applyAlignment="1" applyProtection="1">
      <alignment horizontal="center" vertical="center"/>
      <protection locked="0"/>
    </xf>
    <xf numFmtId="185" fontId="36" fillId="0" borderId="115" xfId="0" applyNumberFormat="1" applyFont="1" applyFill="1" applyBorder="1" applyAlignment="1" applyProtection="1">
      <alignment horizontal="center" vertical="center"/>
      <protection locked="0"/>
    </xf>
    <xf numFmtId="177" fontId="53" fillId="51" borderId="10" xfId="0" applyNumberFormat="1" applyFont="1" applyFill="1" applyBorder="1" applyAlignment="1" applyProtection="1">
      <alignment horizontal="center" vertical="center"/>
      <protection hidden="1"/>
    </xf>
    <xf numFmtId="0" fontId="29" fillId="0" borderId="60" xfId="0" applyFont="1" applyFill="1" applyBorder="1" applyAlignment="1" applyProtection="1">
      <alignment horizontal="center" vertical="justify"/>
      <protection hidden="1"/>
    </xf>
    <xf numFmtId="0" fontId="36" fillId="64" borderId="10" xfId="0" applyNumberFormat="1" applyFont="1" applyFill="1" applyBorder="1" applyAlignment="1" applyProtection="1">
      <alignment horizontal="center" vertical="center"/>
      <protection hidden="1"/>
    </xf>
    <xf numFmtId="185" fontId="36" fillId="27" borderId="278" xfId="0" applyNumberFormat="1" applyFont="1" applyFill="1" applyBorder="1" applyAlignment="1" applyProtection="1">
      <alignment horizontal="center" vertical="center"/>
      <protection hidden="1"/>
    </xf>
    <xf numFmtId="0" fontId="29" fillId="0" borderId="66" xfId="0" applyFont="1" applyFill="1" applyBorder="1" applyAlignment="1" applyProtection="1">
      <alignment horizontal="center" vertical="justify"/>
      <protection hidden="1"/>
    </xf>
    <xf numFmtId="198" fontId="129" fillId="0" borderId="0" xfId="0" applyNumberFormat="1" applyFont="1" applyFill="1" applyBorder="1" applyAlignment="1" applyProtection="1">
      <alignment horizontal="center" vertical="center"/>
      <protection hidden="1"/>
    </xf>
    <xf numFmtId="185" fontId="126" fillId="0" borderId="100" xfId="0" applyNumberFormat="1" applyFont="1" applyFill="1" applyBorder="1" applyAlignment="1" applyProtection="1">
      <alignment horizontal="center" vertical="center"/>
      <protection hidden="1"/>
    </xf>
    <xf numFmtId="185" fontId="36" fillId="0" borderId="100" xfId="0" applyNumberFormat="1" applyFont="1" applyFill="1" applyBorder="1" applyAlignment="1" applyProtection="1">
      <alignment horizontal="center" vertical="center"/>
      <protection locked="0"/>
    </xf>
    <xf numFmtId="0" fontId="49" fillId="0" borderId="0" xfId="0" applyFont="1" applyAlignment="1">
      <alignment horizontal="center" vertical="center"/>
    </xf>
    <xf numFmtId="0" fontId="193" fillId="27" borderId="52" xfId="0" applyFont="1" applyFill="1" applyBorder="1" applyAlignment="1" applyProtection="1">
      <alignment vertical="center"/>
      <protection hidden="1"/>
    </xf>
    <xf numFmtId="0" fontId="194" fillId="27" borderId="50" xfId="0" applyFont="1" applyFill="1" applyBorder="1" applyAlignment="1" applyProtection="1">
      <alignment vertical="center"/>
      <protection hidden="1"/>
    </xf>
    <xf numFmtId="0" fontId="36" fillId="51" borderId="10" xfId="0" applyFont="1" applyFill="1" applyBorder="1" applyAlignment="1" applyProtection="1">
      <alignment horizontal="center" vertical="center"/>
      <protection locked="0"/>
    </xf>
    <xf numFmtId="185" fontId="29" fillId="0" borderId="61" xfId="0" applyNumberFormat="1" applyFont="1" applyFill="1" applyBorder="1" applyAlignment="1" applyProtection="1">
      <alignment horizontal="center" vertical="center"/>
      <protection locked="0"/>
    </xf>
    <xf numFmtId="185" fontId="29" fillId="0" borderId="63" xfId="0" applyNumberFormat="1" applyFont="1" applyFill="1" applyBorder="1" applyAlignment="1" applyProtection="1">
      <alignment horizontal="center" vertical="center"/>
      <protection locked="0"/>
    </xf>
    <xf numFmtId="185" fontId="29" fillId="0" borderId="67" xfId="0" applyNumberFormat="1" applyFont="1" applyFill="1" applyBorder="1" applyAlignment="1" applyProtection="1">
      <alignment horizontal="center" vertical="center"/>
      <protection locked="0"/>
    </xf>
    <xf numFmtId="185" fontId="29" fillId="0" borderId="115" xfId="0" applyNumberFormat="1" applyFont="1" applyFill="1" applyBorder="1" applyAlignment="1" applyProtection="1">
      <alignment horizontal="center" vertical="center"/>
      <protection locked="0"/>
    </xf>
    <xf numFmtId="0" fontId="29" fillId="0" borderId="69" xfId="0" applyFont="1" applyFill="1" applyBorder="1" applyAlignment="1" applyProtection="1">
      <alignment horizontal="center" vertical="justify"/>
      <protection hidden="1"/>
    </xf>
    <xf numFmtId="185" fontId="36" fillId="0" borderId="63" xfId="0" applyNumberFormat="1" applyFont="1" applyFill="1" applyBorder="1" applyAlignment="1" applyProtection="1">
      <alignment horizontal="center" vertical="center"/>
      <protection locked="0"/>
    </xf>
    <xf numFmtId="0" fontId="29" fillId="0" borderId="62" xfId="0" applyFont="1" applyFill="1" applyBorder="1" applyAlignment="1" applyProtection="1">
      <alignment horizontal="center" vertical="justify"/>
      <protection hidden="1"/>
    </xf>
    <xf numFmtId="185" fontId="127" fillId="31" borderId="131" xfId="0" applyNumberFormat="1" applyFont="1" applyFill="1" applyBorder="1" applyAlignment="1" applyProtection="1">
      <alignment horizontal="center" vertical="center"/>
      <protection hidden="1"/>
    </xf>
    <xf numFmtId="2" fontId="26" fillId="0" borderId="10" xfId="0" applyNumberFormat="1" applyFont="1" applyFill="1" applyBorder="1" applyAlignment="1" applyProtection="1">
      <alignment horizontal="center" vertical="justify"/>
      <protection hidden="1"/>
    </xf>
    <xf numFmtId="0" fontId="36" fillId="31" borderId="219" xfId="0" applyFont="1" applyFill="1" applyBorder="1" applyAlignment="1" applyProtection="1">
      <alignment horizontal="center" vertical="center"/>
      <protection hidden="1"/>
    </xf>
    <xf numFmtId="0" fontId="36" fillId="31" borderId="226" xfId="0" applyFont="1" applyFill="1" applyBorder="1" applyAlignment="1" applyProtection="1">
      <alignment horizontal="center" vertical="center"/>
      <protection hidden="1"/>
    </xf>
    <xf numFmtId="185" fontId="36" fillId="27" borderId="228" xfId="0" applyNumberFormat="1" applyFont="1" applyFill="1" applyBorder="1" applyAlignment="1" applyProtection="1">
      <alignment horizontal="center" vertical="center"/>
      <protection hidden="1"/>
    </xf>
    <xf numFmtId="0" fontId="29" fillId="0" borderId="0" xfId="0" applyFont="1" applyFill="1" applyBorder="1" applyAlignment="1" applyProtection="1">
      <alignment horizontal="center" vertical="justify"/>
      <protection hidden="1"/>
    </xf>
    <xf numFmtId="177" fontId="29" fillId="0" borderId="117" xfId="0" applyNumberFormat="1" applyFont="1" applyFill="1" applyBorder="1" applyAlignment="1" applyProtection="1">
      <alignment horizontal="center" vertical="justify"/>
      <protection hidden="1"/>
    </xf>
    <xf numFmtId="177" fontId="195" fillId="0" borderId="118" xfId="0" applyNumberFormat="1" applyFont="1" applyFill="1" applyBorder="1" applyAlignment="1" applyProtection="1">
      <alignment horizontal="center" vertical="center"/>
      <protection hidden="1"/>
    </xf>
    <xf numFmtId="177" fontId="195" fillId="0" borderId="116" xfId="0" applyNumberFormat="1" applyFont="1" applyFill="1" applyBorder="1" applyAlignment="1" applyProtection="1">
      <alignment horizontal="center" vertical="center"/>
      <protection hidden="1"/>
    </xf>
    <xf numFmtId="185" fontId="36" fillId="27" borderId="279" xfId="0" applyNumberFormat="1" applyFont="1" applyFill="1" applyBorder="1" applyAlignment="1" applyProtection="1">
      <alignment horizontal="center" vertical="center"/>
      <protection hidden="1"/>
    </xf>
    <xf numFmtId="185" fontId="36" fillId="27" borderId="225" xfId="0" applyNumberFormat="1" applyFont="1" applyFill="1" applyBorder="1" applyAlignment="1" applyProtection="1">
      <alignment horizontal="center" vertical="center"/>
      <protection hidden="1"/>
    </xf>
    <xf numFmtId="185" fontId="36" fillId="51" borderId="0" xfId="0" applyNumberFormat="1" applyFont="1" applyFill="1" applyBorder="1" applyAlignment="1" applyProtection="1">
      <alignment horizontal="center" vertical="center"/>
      <protection hidden="1"/>
    </xf>
    <xf numFmtId="185" fontId="36" fillId="51" borderId="97" xfId="0" applyNumberFormat="1" applyFont="1" applyFill="1" applyBorder="1" applyAlignment="1" applyProtection="1">
      <alignment horizontal="center" vertical="center"/>
      <protection hidden="1"/>
    </xf>
    <xf numFmtId="185" fontId="29" fillId="51" borderId="0" xfId="0" applyNumberFormat="1" applyFont="1" applyFill="1" applyBorder="1" applyAlignment="1" applyProtection="1">
      <alignment horizontal="center" vertical="center"/>
      <protection hidden="1"/>
    </xf>
    <xf numFmtId="185" fontId="29" fillId="51" borderId="97" xfId="0" applyNumberFormat="1" applyFont="1" applyFill="1" applyBorder="1" applyAlignment="1" applyProtection="1">
      <alignment horizontal="center" vertical="center"/>
      <protection hidden="1"/>
    </xf>
    <xf numFmtId="185" fontId="29" fillId="51" borderId="57" xfId="0" applyNumberFormat="1" applyFont="1" applyFill="1" applyBorder="1" applyAlignment="1" applyProtection="1">
      <alignment horizontal="center" vertical="center"/>
      <protection hidden="1"/>
    </xf>
    <xf numFmtId="185" fontId="29" fillId="51" borderId="93" xfId="0" applyNumberFormat="1" applyFont="1" applyFill="1" applyBorder="1" applyAlignment="1" applyProtection="1">
      <alignment horizontal="center" vertical="center"/>
      <protection hidden="1"/>
    </xf>
    <xf numFmtId="185" fontId="36" fillId="51" borderId="53" xfId="0" applyNumberFormat="1" applyFont="1" applyFill="1" applyBorder="1" applyAlignment="1" applyProtection="1">
      <alignment horizontal="center" vertical="center"/>
      <protection hidden="1"/>
    </xf>
    <xf numFmtId="185" fontId="36" fillId="51" borderId="111" xfId="0" applyNumberFormat="1" applyFont="1" applyFill="1" applyBorder="1" applyAlignment="1" applyProtection="1">
      <alignment horizontal="center" vertical="center"/>
      <protection hidden="1"/>
    </xf>
    <xf numFmtId="185" fontId="29" fillId="51" borderId="56" xfId="0" applyNumberFormat="1" applyFont="1" applyFill="1" applyBorder="1" applyAlignment="1" applyProtection="1">
      <alignment horizontal="center" vertical="center"/>
      <protection hidden="1"/>
    </xf>
    <xf numFmtId="185" fontId="36" fillId="27" borderId="26" xfId="0" applyNumberFormat="1" applyFont="1" applyFill="1" applyBorder="1" applyAlignment="1" applyProtection="1">
      <alignment horizontal="center" vertical="center"/>
      <protection hidden="1"/>
    </xf>
    <xf numFmtId="0" fontId="36" fillId="0" borderId="0" xfId="0" applyFont="1" applyFill="1" applyBorder="1" applyAlignment="1" applyProtection="1">
      <alignment horizontal="center" vertical="justify"/>
      <protection hidden="1"/>
    </xf>
    <xf numFmtId="185" fontId="36" fillId="27" borderId="138" xfId="0" applyNumberFormat="1" applyFont="1" applyFill="1" applyBorder="1" applyAlignment="1" applyProtection="1">
      <alignment horizontal="center" vertical="center"/>
      <protection hidden="1"/>
    </xf>
    <xf numFmtId="185" fontId="29" fillId="51" borderId="66" xfId="0" applyNumberFormat="1" applyFont="1" applyFill="1" applyBorder="1" applyAlignment="1" applyProtection="1">
      <alignment horizontal="center" vertical="center"/>
      <protection hidden="1"/>
    </xf>
    <xf numFmtId="185" fontId="29" fillId="51" borderId="150" xfId="0" applyNumberFormat="1" applyFont="1" applyFill="1" applyBorder="1" applyAlignment="1" applyProtection="1">
      <alignment horizontal="center" vertical="center"/>
      <protection hidden="1"/>
    </xf>
    <xf numFmtId="0" fontId="36" fillId="31" borderId="230" xfId="0" applyFont="1" applyFill="1" applyBorder="1" applyAlignment="1" applyProtection="1">
      <alignment horizontal="center" vertical="center"/>
      <protection hidden="1"/>
    </xf>
    <xf numFmtId="185" fontId="36" fillId="51" borderId="143" xfId="0" applyNumberFormat="1" applyFont="1" applyFill="1" applyBorder="1" applyAlignment="1" applyProtection="1">
      <alignment horizontal="center" vertical="center"/>
      <protection hidden="1"/>
    </xf>
    <xf numFmtId="177" fontId="53" fillId="64" borderId="10" xfId="0" applyNumberFormat="1" applyFont="1" applyFill="1" applyBorder="1" applyAlignment="1" applyProtection="1">
      <alignment horizontal="center" vertical="center"/>
      <protection hidden="1"/>
    </xf>
    <xf numFmtId="185" fontId="36" fillId="27" borderId="280" xfId="0" applyNumberFormat="1" applyFont="1" applyFill="1" applyBorder="1" applyAlignment="1" applyProtection="1">
      <alignment horizontal="center" vertical="center"/>
      <protection hidden="1"/>
    </xf>
    <xf numFmtId="177" fontId="195" fillId="0" borderId="100" xfId="0" applyNumberFormat="1" applyFont="1" applyFill="1" applyBorder="1" applyAlignment="1" applyProtection="1">
      <alignment horizontal="center" vertical="center"/>
      <protection hidden="1"/>
    </xf>
    <xf numFmtId="198" fontId="129" fillId="27" borderId="161" xfId="0" applyNumberFormat="1" applyFont="1" applyFill="1" applyBorder="1" applyAlignment="1" applyProtection="1">
      <alignment horizontal="center" vertical="center"/>
      <protection hidden="1"/>
    </xf>
    <xf numFmtId="185" fontId="36" fillId="51" borderId="50" xfId="0" applyNumberFormat="1" applyFont="1" applyFill="1" applyBorder="1" applyAlignment="1" applyProtection="1">
      <alignment horizontal="center" vertical="center"/>
      <protection hidden="1"/>
    </xf>
    <xf numFmtId="185" fontId="36" fillId="51" borderId="135" xfId="0" applyNumberFormat="1" applyFont="1" applyFill="1" applyBorder="1" applyAlignment="1" applyProtection="1">
      <alignment horizontal="center" vertical="center"/>
      <protection hidden="1"/>
    </xf>
    <xf numFmtId="185" fontId="36" fillId="51" borderId="56" xfId="0" applyNumberFormat="1" applyFont="1" applyFill="1" applyBorder="1" applyAlignment="1" applyProtection="1">
      <alignment horizontal="center" vertical="center"/>
      <protection hidden="1"/>
    </xf>
    <xf numFmtId="185" fontId="36" fillId="51" borderId="93" xfId="0" applyNumberFormat="1" applyFont="1" applyFill="1" applyBorder="1" applyAlignment="1" applyProtection="1">
      <alignment horizontal="center" vertical="center"/>
      <protection hidden="1"/>
    </xf>
    <xf numFmtId="185" fontId="29" fillId="0" borderId="150" xfId="0" applyNumberFormat="1" applyFont="1" applyFill="1" applyBorder="1" applyAlignment="1" applyProtection="1">
      <alignment horizontal="center" vertical="center"/>
      <protection hidden="1"/>
    </xf>
    <xf numFmtId="0" fontId="36" fillId="31" borderId="220" xfId="0" applyFont="1" applyFill="1" applyBorder="1" applyAlignment="1" applyProtection="1">
      <alignment horizontal="center" vertical="center"/>
      <protection hidden="1"/>
    </xf>
    <xf numFmtId="0" fontId="36" fillId="31" borderId="227" xfId="0" applyFont="1" applyFill="1" applyBorder="1" applyAlignment="1" applyProtection="1">
      <alignment horizontal="center" vertical="center"/>
      <protection hidden="1"/>
    </xf>
    <xf numFmtId="185" fontId="36" fillId="0" borderId="144" xfId="0" applyNumberFormat="1" applyFont="1" applyFill="1" applyBorder="1" applyAlignment="1" applyProtection="1">
      <alignment horizontal="center" vertical="center"/>
      <protection locked="0"/>
    </xf>
    <xf numFmtId="185" fontId="36" fillId="51" borderId="110" xfId="0" applyNumberFormat="1" applyFont="1" applyFill="1" applyBorder="1" applyAlignment="1" applyProtection="1">
      <alignment horizontal="center" vertical="center"/>
      <protection hidden="1"/>
    </xf>
    <xf numFmtId="198" fontId="129" fillId="0" borderId="99" xfId="0" applyNumberFormat="1" applyFont="1" applyFill="1" applyBorder="1" applyAlignment="1" applyProtection="1">
      <alignment horizontal="center" vertical="center"/>
      <protection hidden="1"/>
    </xf>
    <xf numFmtId="185" fontId="29" fillId="51" borderId="64" xfId="0" applyNumberFormat="1" applyFont="1" applyFill="1" applyBorder="1" applyAlignment="1" applyProtection="1">
      <alignment horizontal="center" vertical="center"/>
      <protection hidden="1"/>
    </xf>
    <xf numFmtId="0" fontId="36" fillId="0" borderId="62" xfId="0" applyFont="1" applyFill="1" applyBorder="1" applyAlignment="1" applyProtection="1">
      <alignment horizontal="center" vertical="justify"/>
      <protection hidden="1"/>
    </xf>
    <xf numFmtId="198" fontId="129" fillId="0" borderId="17" xfId="0" applyNumberFormat="1" applyFont="1" applyFill="1" applyBorder="1" applyAlignment="1" applyProtection="1">
      <alignment horizontal="center" vertical="center"/>
      <protection hidden="1"/>
    </xf>
    <xf numFmtId="198" fontId="129" fillId="0" borderId="98" xfId="0" applyNumberFormat="1" applyFont="1" applyFill="1" applyBorder="1" applyAlignment="1" applyProtection="1">
      <alignment horizontal="center" vertical="center"/>
      <protection hidden="1"/>
    </xf>
    <xf numFmtId="185" fontId="36" fillId="51" borderId="64" xfId="0" applyNumberFormat="1" applyFont="1" applyFill="1" applyBorder="1" applyAlignment="1" applyProtection="1">
      <alignment horizontal="center" vertical="center"/>
      <protection hidden="1"/>
    </xf>
    <xf numFmtId="185" fontId="36" fillId="51" borderId="26" xfId="0" applyNumberFormat="1" applyFont="1" applyFill="1" applyBorder="1" applyAlignment="1" applyProtection="1">
      <alignment horizontal="center" vertical="center"/>
      <protection hidden="1"/>
    </xf>
    <xf numFmtId="185" fontId="36" fillId="27" borderId="136" xfId="0" applyNumberFormat="1" applyFont="1" applyFill="1" applyBorder="1" applyAlignment="1" applyProtection="1">
      <alignment horizontal="center" vertical="center"/>
      <protection hidden="1"/>
    </xf>
    <xf numFmtId="185" fontId="127" fillId="31" borderId="226" xfId="0" applyNumberFormat="1" applyFont="1" applyFill="1" applyBorder="1" applyAlignment="1" applyProtection="1">
      <alignment horizontal="center" vertical="center"/>
      <protection hidden="1"/>
    </xf>
    <xf numFmtId="185" fontId="36" fillId="51" borderId="52" xfId="0" applyNumberFormat="1" applyFont="1" applyFill="1" applyBorder="1" applyAlignment="1" applyProtection="1">
      <alignment horizontal="center" vertical="center"/>
      <protection hidden="1"/>
    </xf>
    <xf numFmtId="214" fontId="29" fillId="0" borderId="92" xfId="0" applyNumberFormat="1" applyFont="1" applyFill="1" applyBorder="1" applyAlignment="1" applyProtection="1">
      <alignment horizontal="center" vertical="center"/>
      <protection hidden="1"/>
    </xf>
    <xf numFmtId="214" fontId="29" fillId="0" borderId="115" xfId="0" applyNumberFormat="1" applyFont="1" applyFill="1" applyBorder="1" applyAlignment="1" applyProtection="1">
      <alignment horizontal="center" vertical="center"/>
      <protection hidden="1"/>
    </xf>
    <xf numFmtId="0" fontId="36" fillId="51" borderId="10" xfId="0" applyNumberFormat="1" applyFont="1" applyFill="1" applyBorder="1" applyAlignment="1" applyProtection="1">
      <alignment horizontal="center" vertical="center"/>
      <protection hidden="1"/>
    </xf>
    <xf numFmtId="1" fontId="26" fillId="0" borderId="10" xfId="0" applyNumberFormat="1" applyFont="1" applyFill="1" applyBorder="1" applyAlignment="1" applyProtection="1">
      <alignment horizontal="center" vertical="justify"/>
      <protection hidden="1"/>
    </xf>
    <xf numFmtId="185" fontId="29" fillId="51" borderId="83" xfId="0" applyNumberFormat="1" applyFont="1" applyFill="1" applyBorder="1" applyAlignment="1" applyProtection="1">
      <alignment horizontal="center" vertical="center"/>
      <protection hidden="1"/>
    </xf>
    <xf numFmtId="177" fontId="29" fillId="0" borderId="100" xfId="0" applyNumberFormat="1" applyFont="1" applyFill="1" applyBorder="1" applyAlignment="1" applyProtection="1">
      <alignment horizontal="center" vertical="justify"/>
      <protection hidden="1"/>
    </xf>
    <xf numFmtId="177" fontId="195" fillId="0" borderId="115" xfId="0" applyNumberFormat="1" applyFont="1" applyFill="1" applyBorder="1" applyAlignment="1" applyProtection="1">
      <alignment horizontal="center" vertical="justify"/>
      <protection hidden="1"/>
    </xf>
    <xf numFmtId="185" fontId="36" fillId="27" borderId="178" xfId="0" applyNumberFormat="1" applyFont="1" applyFill="1" applyBorder="1" applyAlignment="1" applyProtection="1">
      <alignment horizontal="center" vertical="center"/>
      <protection hidden="1"/>
    </xf>
    <xf numFmtId="177" fontId="29" fillId="0" borderId="92" xfId="0" applyNumberFormat="1" applyFont="1" applyFill="1" applyBorder="1" applyAlignment="1" applyProtection="1">
      <alignment horizontal="center" vertical="justify"/>
      <protection hidden="1"/>
    </xf>
    <xf numFmtId="177" fontId="29" fillId="0" borderId="115" xfId="0" applyNumberFormat="1" applyFont="1" applyFill="1" applyBorder="1" applyAlignment="1" applyProtection="1">
      <alignment horizontal="center" vertical="justify"/>
      <protection hidden="1"/>
    </xf>
    <xf numFmtId="177" fontId="29" fillId="0" borderId="0" xfId="0" applyNumberFormat="1" applyFont="1" applyFill="1" applyBorder="1" applyAlignment="1" applyProtection="1">
      <alignment horizontal="center" vertical="justify"/>
      <protection hidden="1"/>
    </xf>
    <xf numFmtId="185" fontId="36" fillId="51" borderId="83" xfId="0" applyNumberFormat="1" applyFont="1" applyFill="1" applyBorder="1" applyAlignment="1" applyProtection="1">
      <alignment horizontal="center" vertical="center"/>
      <protection hidden="1"/>
    </xf>
    <xf numFmtId="0" fontId="196" fillId="27" borderId="89" xfId="0" quotePrefix="1" applyFont="1" applyFill="1" applyBorder="1" applyAlignment="1" applyProtection="1">
      <alignment vertical="center"/>
      <protection hidden="1"/>
    </xf>
    <xf numFmtId="0" fontId="183" fillId="27" borderId="50" xfId="0" applyNumberFormat="1" applyFont="1" applyFill="1" applyBorder="1" applyAlignment="1" applyProtection="1">
      <alignment horizontal="left" vertical="center"/>
      <protection hidden="1"/>
    </xf>
    <xf numFmtId="0" fontId="196" fillId="27" borderId="62" xfId="0" quotePrefix="1" applyFont="1" applyFill="1" applyBorder="1" applyAlignment="1" applyProtection="1">
      <alignment vertical="center"/>
      <protection hidden="1"/>
    </xf>
    <xf numFmtId="0" fontId="196" fillId="27" borderId="64" xfId="0" applyFont="1" applyFill="1" applyBorder="1" applyProtection="1">
      <alignment vertical="center"/>
      <protection hidden="1"/>
    </xf>
    <xf numFmtId="0" fontId="185" fillId="27" borderId="50" xfId="0" applyFont="1" applyFill="1" applyBorder="1" applyAlignment="1" applyProtection="1">
      <alignment vertical="center"/>
      <protection hidden="1"/>
    </xf>
    <xf numFmtId="0" fontId="185" fillId="27" borderId="57" xfId="0" applyNumberFormat="1" applyFont="1" applyFill="1" applyBorder="1" applyAlignment="1" applyProtection="1">
      <alignment horizontal="left" vertical="center"/>
      <protection hidden="1"/>
    </xf>
    <xf numFmtId="0" fontId="197" fillId="27" borderId="52" xfId="0" applyFont="1" applyFill="1" applyBorder="1" applyAlignment="1" applyProtection="1">
      <alignment vertical="center"/>
      <protection hidden="1"/>
    </xf>
    <xf numFmtId="0" fontId="187" fillId="27" borderId="50" xfId="0" applyNumberFormat="1" applyFont="1" applyFill="1" applyBorder="1" applyAlignment="1" applyProtection="1">
      <alignment horizontal="left" vertical="center"/>
      <protection hidden="1"/>
    </xf>
    <xf numFmtId="0" fontId="187" fillId="27" borderId="50" xfId="0" applyFont="1" applyFill="1" applyBorder="1" applyAlignment="1" applyProtection="1">
      <alignment vertical="center"/>
      <protection hidden="1"/>
    </xf>
    <xf numFmtId="0" fontId="192" fillId="27" borderId="82" xfId="0" applyFont="1" applyFill="1" applyBorder="1" applyAlignment="1" applyProtection="1">
      <alignment vertical="center"/>
      <protection hidden="1"/>
    </xf>
    <xf numFmtId="0" fontId="198" fillId="27" borderId="64" xfId="29" applyFont="1" applyFill="1" applyBorder="1" applyAlignment="1" applyProtection="1">
      <alignment horizontal="center" vertical="center"/>
      <protection hidden="1"/>
    </xf>
    <xf numFmtId="0" fontId="187" fillId="27" borderId="10" xfId="0" applyFont="1" applyFill="1" applyBorder="1" applyAlignment="1" applyProtection="1">
      <alignment horizontal="center" vertical="center"/>
      <protection hidden="1"/>
    </xf>
    <xf numFmtId="0" fontId="197" fillId="27" borderId="26" xfId="0" applyFont="1" applyFill="1" applyBorder="1" applyAlignment="1" applyProtection="1">
      <alignment vertical="center"/>
      <protection hidden="1"/>
    </xf>
    <xf numFmtId="0" fontId="185" fillId="27" borderId="82" xfId="0" applyFont="1" applyFill="1" applyBorder="1" applyAlignment="1" applyProtection="1">
      <alignment vertical="center"/>
      <protection hidden="1"/>
    </xf>
    <xf numFmtId="0" fontId="185" fillId="27" borderId="10" xfId="0" applyFont="1" applyFill="1" applyBorder="1" applyAlignment="1" applyProtection="1">
      <alignment horizontal="center" vertical="center"/>
      <protection hidden="1"/>
    </xf>
    <xf numFmtId="0" fontId="196" fillId="27" borderId="26" xfId="0" applyFont="1" applyFill="1" applyBorder="1" applyAlignment="1" applyProtection="1">
      <alignment vertical="center"/>
      <protection hidden="1"/>
    </xf>
    <xf numFmtId="0" fontId="63" fillId="37" borderId="69" xfId="0" applyFont="1" applyFill="1" applyBorder="1" applyAlignment="1" applyProtection="1">
      <alignment horizontal="center" vertical="center"/>
      <protection hidden="1"/>
    </xf>
    <xf numFmtId="0" fontId="0" fillId="0" borderId="0" xfId="0" applyBorder="1" applyProtection="1">
      <alignment vertical="center"/>
      <protection hidden="1"/>
    </xf>
    <xf numFmtId="182" fontId="26" fillId="27" borderId="96" xfId="0" applyNumberFormat="1" applyFont="1" applyFill="1" applyBorder="1" applyAlignment="1" applyProtection="1">
      <alignment horizontal="center" vertical="center" wrapText="1"/>
      <protection hidden="1"/>
    </xf>
    <xf numFmtId="182" fontId="37" fillId="33" borderId="100" xfId="0" applyNumberFormat="1" applyFont="1" applyFill="1" applyBorder="1" applyAlignment="1" applyProtection="1">
      <alignment horizontal="left" vertical="center"/>
      <protection hidden="1"/>
    </xf>
    <xf numFmtId="182" fontId="37" fillId="31" borderId="108" xfId="0" applyNumberFormat="1" applyFont="1" applyFill="1" applyBorder="1" applyAlignment="1" applyProtection="1">
      <alignment horizontal="left" vertical="center"/>
      <protection hidden="1"/>
    </xf>
    <xf numFmtId="182" fontId="28" fillId="0" borderId="223" xfId="0" applyNumberFormat="1" applyFont="1" applyFill="1" applyBorder="1" applyAlignment="1" applyProtection="1">
      <alignment horizontal="left" vertical="center" wrapText="1"/>
      <protection hidden="1"/>
    </xf>
    <xf numFmtId="0" fontId="0" fillId="0" borderId="100" xfId="0" applyBorder="1" applyProtection="1">
      <alignment vertical="center"/>
      <protection hidden="1"/>
    </xf>
    <xf numFmtId="0" fontId="0" fillId="0" borderId="173" xfId="0" applyBorder="1" applyProtection="1">
      <alignment vertical="center"/>
      <protection hidden="1"/>
    </xf>
    <xf numFmtId="0" fontId="0" fillId="0" borderId="173" xfId="0" applyFill="1" applyBorder="1" applyProtection="1">
      <alignment vertical="center"/>
      <protection hidden="1"/>
    </xf>
    <xf numFmtId="0" fontId="23" fillId="65" borderId="123" xfId="0" applyFont="1" applyFill="1" applyBorder="1" applyAlignment="1" applyProtection="1">
      <alignment horizontal="center" vertical="center"/>
      <protection hidden="1"/>
    </xf>
    <xf numFmtId="182" fontId="28" fillId="0" borderId="80" xfId="0" applyNumberFormat="1" applyFont="1" applyFill="1" applyBorder="1" applyAlignment="1" applyProtection="1">
      <alignment horizontal="left" vertical="center" wrapText="1"/>
      <protection hidden="1"/>
    </xf>
    <xf numFmtId="0" fontId="0" fillId="65" borderId="173" xfId="0" applyFill="1" applyBorder="1" applyAlignment="1" applyProtection="1">
      <alignment horizontal="center" vertical="center"/>
      <protection hidden="1"/>
    </xf>
    <xf numFmtId="0" fontId="0" fillId="0" borderId="173" xfId="0" applyFill="1" applyBorder="1" applyAlignment="1" applyProtection="1">
      <alignment horizontal="center" vertical="center"/>
      <protection hidden="1"/>
    </xf>
    <xf numFmtId="182" fontId="28" fillId="0" borderId="123" xfId="0" applyNumberFormat="1" applyFont="1" applyFill="1" applyBorder="1" applyAlignment="1" applyProtection="1">
      <alignment horizontal="left" vertical="center" wrapText="1"/>
      <protection hidden="1"/>
    </xf>
    <xf numFmtId="0" fontId="0" fillId="0" borderId="100" xfId="0" applyBorder="1" applyAlignment="1" applyProtection="1">
      <alignment horizontal="center" vertical="center"/>
      <protection hidden="1"/>
    </xf>
    <xf numFmtId="0" fontId="0" fillId="0" borderId="173" xfId="0" applyBorder="1" applyAlignment="1" applyProtection="1">
      <alignment horizontal="center" vertical="center"/>
      <protection hidden="1"/>
    </xf>
    <xf numFmtId="0" fontId="0" fillId="0" borderId="100" xfId="0" applyFill="1" applyBorder="1" applyProtection="1">
      <alignment vertical="center"/>
      <protection hidden="1"/>
    </xf>
    <xf numFmtId="0" fontId="23" fillId="0" borderId="173" xfId="0" applyFont="1" applyFill="1" applyBorder="1" applyAlignment="1" applyProtection="1">
      <alignment horizontal="center" vertical="center"/>
      <protection hidden="1"/>
    </xf>
    <xf numFmtId="182" fontId="37" fillId="31" borderId="134" xfId="0" applyNumberFormat="1" applyFont="1" applyFill="1" applyBorder="1" applyAlignment="1" applyProtection="1">
      <alignment horizontal="left" vertical="center"/>
      <protection hidden="1"/>
    </xf>
    <xf numFmtId="0" fontId="23" fillId="65" borderId="223" xfId="0" applyFont="1" applyFill="1" applyBorder="1" applyAlignment="1" applyProtection="1">
      <alignment horizontal="center" vertical="center"/>
      <protection hidden="1"/>
    </xf>
    <xf numFmtId="182" fontId="28" fillId="0" borderId="96" xfId="0" applyNumberFormat="1" applyFont="1" applyFill="1" applyBorder="1" applyAlignment="1" applyProtection="1">
      <alignment horizontal="left" vertical="center" wrapText="1"/>
      <protection hidden="1"/>
    </xf>
    <xf numFmtId="0" fontId="0" fillId="65" borderId="100" xfId="0" applyFill="1" applyBorder="1" applyAlignment="1" applyProtection="1">
      <alignment horizontal="center" vertical="center"/>
      <protection hidden="1"/>
    </xf>
    <xf numFmtId="182" fontId="23" fillId="66" borderId="123" xfId="0" applyNumberFormat="1" applyFont="1" applyFill="1" applyBorder="1" applyAlignment="1" applyProtection="1">
      <alignment horizontal="center" vertical="center" wrapText="1"/>
      <protection hidden="1"/>
    </xf>
    <xf numFmtId="0" fontId="23" fillId="0" borderId="100" xfId="0" applyFont="1" applyFill="1" applyBorder="1" applyAlignment="1" applyProtection="1">
      <alignment horizontal="center" vertical="center"/>
      <protection hidden="1"/>
    </xf>
    <xf numFmtId="0" fontId="33" fillId="66" borderId="173" xfId="0" applyFont="1" applyFill="1" applyBorder="1" applyAlignment="1" applyProtection="1">
      <alignment horizontal="center" vertical="center"/>
      <protection hidden="1"/>
    </xf>
    <xf numFmtId="0" fontId="33" fillId="66" borderId="281" xfId="0" applyFont="1" applyFill="1" applyBorder="1" applyAlignment="1" applyProtection="1">
      <alignment horizontal="center" vertical="center"/>
      <protection hidden="1"/>
    </xf>
    <xf numFmtId="182" fontId="28" fillId="0" borderId="112" xfId="0" applyNumberFormat="1" applyFont="1" applyFill="1" applyBorder="1" applyAlignment="1" applyProtection="1">
      <alignment horizontal="left" vertical="top" wrapText="1"/>
      <protection hidden="1"/>
    </xf>
    <xf numFmtId="182" fontId="28" fillId="0" borderId="100" xfId="0" applyNumberFormat="1" applyFont="1" applyFill="1" applyBorder="1" applyAlignment="1" applyProtection="1">
      <alignment horizontal="left" vertical="center" wrapText="1"/>
      <protection hidden="1"/>
    </xf>
    <xf numFmtId="0" fontId="33" fillId="0" borderId="173" xfId="0" applyFont="1" applyFill="1" applyBorder="1" applyAlignment="1" applyProtection="1">
      <alignment horizontal="center" vertical="center"/>
      <protection hidden="1"/>
    </xf>
    <xf numFmtId="0" fontId="125" fillId="67" borderId="282" xfId="0" applyFont="1" applyFill="1" applyBorder="1" applyAlignment="1" applyProtection="1">
      <alignment horizontal="center" vertical="center"/>
      <protection hidden="1"/>
    </xf>
    <xf numFmtId="0" fontId="125" fillId="67" borderId="145" xfId="0" applyFont="1" applyFill="1" applyBorder="1" applyAlignment="1" applyProtection="1">
      <alignment horizontal="center" vertical="center"/>
      <protection hidden="1"/>
    </xf>
    <xf numFmtId="0" fontId="125" fillId="67" borderId="112" xfId="0" applyFont="1" applyFill="1" applyBorder="1" applyAlignment="1" applyProtection="1">
      <alignment horizontal="center" vertical="center"/>
      <protection hidden="1"/>
    </xf>
    <xf numFmtId="0" fontId="125" fillId="67" borderId="89" xfId="0" applyFont="1" applyFill="1" applyBorder="1" applyAlignment="1" applyProtection="1">
      <alignment horizontal="center" vertical="center"/>
      <protection hidden="1"/>
    </xf>
    <xf numFmtId="0" fontId="125" fillId="67" borderId="100" xfId="0" applyFont="1" applyFill="1" applyBorder="1" applyAlignment="1" applyProtection="1">
      <alignment horizontal="center" vertical="center"/>
      <protection hidden="1"/>
    </xf>
    <xf numFmtId="0" fontId="125" fillId="67" borderId="62" xfId="0" applyFont="1" applyFill="1" applyBorder="1" applyAlignment="1" applyProtection="1">
      <alignment horizontal="center" vertical="center"/>
      <protection hidden="1"/>
    </xf>
    <xf numFmtId="0" fontId="125" fillId="68" borderId="216" xfId="0" applyFont="1" applyFill="1" applyBorder="1" applyAlignment="1" applyProtection="1">
      <alignment horizontal="center" vertical="center"/>
      <protection hidden="1"/>
    </xf>
    <xf numFmtId="0" fontId="125" fillId="68" borderId="86" xfId="0" applyFont="1" applyFill="1" applyBorder="1" applyAlignment="1" applyProtection="1">
      <alignment horizontal="center" vertical="center"/>
      <protection hidden="1"/>
    </xf>
    <xf numFmtId="0" fontId="0" fillId="0" borderId="123" xfId="0" applyBorder="1" applyProtection="1">
      <alignment vertical="center"/>
      <protection hidden="1"/>
    </xf>
    <xf numFmtId="0" fontId="0" fillId="0" borderId="80" xfId="0" applyBorder="1" applyProtection="1">
      <alignment vertical="center"/>
      <protection hidden="1"/>
    </xf>
    <xf numFmtId="0" fontId="125" fillId="68" borderId="283" xfId="0" applyFont="1" applyFill="1" applyBorder="1" applyAlignment="1" applyProtection="1">
      <alignment horizontal="center" vertical="center"/>
      <protection hidden="1"/>
    </xf>
    <xf numFmtId="0" fontId="125" fillId="68" borderId="184" xfId="0" applyFont="1" applyFill="1" applyBorder="1" applyAlignment="1" applyProtection="1">
      <alignment horizontal="center" vertical="center"/>
      <protection hidden="1"/>
    </xf>
    <xf numFmtId="0" fontId="125" fillId="69" borderId="96" xfId="0" applyFont="1" applyFill="1" applyBorder="1" applyAlignment="1" applyProtection="1">
      <alignment horizontal="center" vertical="center"/>
      <protection hidden="1"/>
    </xf>
    <xf numFmtId="0" fontId="125" fillId="70" borderId="77" xfId="0" applyFont="1" applyFill="1" applyBorder="1" applyAlignment="1" applyProtection="1">
      <alignment horizontal="center" vertical="center"/>
      <protection hidden="1"/>
    </xf>
    <xf numFmtId="182" fontId="37" fillId="0" borderId="100" xfId="0" applyNumberFormat="1" applyFont="1" applyFill="1" applyBorder="1" applyAlignment="1" applyProtection="1">
      <alignment horizontal="left" vertical="center"/>
      <protection hidden="1"/>
    </xf>
    <xf numFmtId="182" fontId="37" fillId="33" borderId="92" xfId="0" applyNumberFormat="1" applyFont="1" applyFill="1" applyBorder="1" applyAlignment="1" applyProtection="1">
      <alignment horizontal="left" vertical="center"/>
      <protection hidden="1"/>
    </xf>
    <xf numFmtId="0" fontId="33" fillId="71" borderId="173" xfId="0" applyFont="1" applyFill="1" applyBorder="1" applyAlignment="1" applyProtection="1">
      <alignment horizontal="center" vertical="center"/>
      <protection hidden="1"/>
    </xf>
    <xf numFmtId="0" fontId="33" fillId="71" borderId="283" xfId="0" applyFont="1" applyFill="1" applyBorder="1" applyAlignment="1" applyProtection="1">
      <alignment horizontal="center" vertical="center"/>
      <protection hidden="1"/>
    </xf>
    <xf numFmtId="0" fontId="0" fillId="0" borderId="123" xfId="0" applyFont="1" applyBorder="1" applyProtection="1">
      <alignment vertical="center"/>
      <protection hidden="1"/>
    </xf>
    <xf numFmtId="0" fontId="33" fillId="0" borderId="216" xfId="0" applyFont="1" applyFill="1" applyBorder="1" applyAlignment="1" applyProtection="1">
      <alignment horizontal="center" vertical="center"/>
      <protection hidden="1"/>
    </xf>
    <xf numFmtId="0" fontId="107" fillId="0" borderId="216" xfId="0" quotePrefix="1" applyNumberFormat="1" applyFont="1" applyFill="1" applyBorder="1" applyAlignment="1" applyProtection="1">
      <alignment horizontal="center" vertical="center"/>
      <protection hidden="1"/>
    </xf>
    <xf numFmtId="0" fontId="0" fillId="0" borderId="100" xfId="0" applyFont="1" applyFill="1" applyBorder="1" applyProtection="1">
      <alignment vertical="center"/>
      <protection hidden="1"/>
    </xf>
    <xf numFmtId="0" fontId="107" fillId="0" borderId="173" xfId="0" quotePrefix="1" applyNumberFormat="1" applyFont="1" applyFill="1" applyBorder="1" applyAlignment="1" applyProtection="1">
      <alignment horizontal="center" vertical="center"/>
      <protection hidden="1"/>
    </xf>
    <xf numFmtId="0" fontId="33" fillId="71" borderId="174" xfId="0" applyFont="1" applyFill="1" applyBorder="1" applyAlignment="1" applyProtection="1">
      <alignment horizontal="center" vertical="center"/>
      <protection hidden="1"/>
    </xf>
    <xf numFmtId="0" fontId="125" fillId="31" borderId="134" xfId="0" applyNumberFormat="1" applyFont="1" applyFill="1" applyBorder="1" applyAlignment="1" applyProtection="1">
      <alignment horizontal="center" vertical="center"/>
      <protection hidden="1"/>
    </xf>
    <xf numFmtId="0" fontId="125" fillId="31" borderId="130" xfId="0" applyNumberFormat="1" applyFont="1" applyFill="1" applyBorder="1" applyAlignment="1" applyProtection="1">
      <alignment horizontal="center" vertical="center"/>
      <protection hidden="1"/>
    </xf>
    <xf numFmtId="182" fontId="28" fillId="0" borderId="210" xfId="0" applyNumberFormat="1" applyFont="1" applyFill="1" applyBorder="1" applyAlignment="1" applyProtection="1">
      <alignment horizontal="left" vertical="center" wrapText="1"/>
      <protection hidden="1"/>
    </xf>
    <xf numFmtId="0" fontId="0" fillId="0" borderId="284" xfId="0" applyBorder="1" applyProtection="1">
      <alignment vertical="center"/>
      <protection hidden="1"/>
    </xf>
    <xf numFmtId="0" fontId="0" fillId="0" borderId="63" xfId="0" applyBorder="1" applyProtection="1">
      <alignment vertical="center"/>
      <protection hidden="1"/>
    </xf>
    <xf numFmtId="0" fontId="0" fillId="0" borderId="82" xfId="0" applyBorder="1" applyProtection="1">
      <alignment vertical="center"/>
      <protection hidden="1"/>
    </xf>
    <xf numFmtId="0" fontId="0" fillId="0" borderId="13" xfId="0" applyBorder="1" applyProtection="1">
      <alignment vertical="center"/>
      <protection hidden="1"/>
    </xf>
    <xf numFmtId="0" fontId="0" fillId="0" borderId="174" xfId="0" applyBorder="1" applyProtection="1">
      <alignment vertical="center"/>
      <protection hidden="1"/>
    </xf>
    <xf numFmtId="182" fontId="28" fillId="0" borderId="123" xfId="0" applyNumberFormat="1" applyFont="1" applyFill="1" applyBorder="1" applyAlignment="1" applyProtection="1">
      <alignment horizontal="left" vertical="top" wrapText="1"/>
      <protection hidden="1"/>
    </xf>
    <xf numFmtId="0" fontId="33" fillId="0" borderId="185" xfId="0" applyFont="1" applyFill="1" applyBorder="1" applyAlignment="1" applyProtection="1">
      <alignment horizontal="center" vertical="center"/>
      <protection hidden="1"/>
    </xf>
    <xf numFmtId="0" fontId="0" fillId="51" borderId="0" xfId="0" applyFill="1">
      <alignment vertical="center"/>
    </xf>
    <xf numFmtId="0" fontId="56" fillId="59" borderId="62" xfId="0" applyFont="1" applyFill="1" applyBorder="1" applyProtection="1">
      <alignment vertical="center"/>
      <protection locked="0"/>
    </xf>
    <xf numFmtId="0" fontId="56" fillId="59" borderId="0" xfId="0" applyFont="1" applyFill="1" applyBorder="1" applyProtection="1">
      <alignment vertical="center"/>
      <protection locked="0"/>
    </xf>
    <xf numFmtId="0" fontId="56" fillId="59" borderId="63" xfId="0" applyFont="1" applyFill="1" applyBorder="1" applyProtection="1">
      <alignment vertical="center"/>
      <protection locked="0"/>
    </xf>
    <xf numFmtId="3" fontId="71" fillId="59" borderId="0" xfId="0" applyNumberFormat="1" applyFont="1" applyFill="1" applyBorder="1" applyAlignment="1" applyProtection="1">
      <alignment horizontal="left" vertical="center"/>
      <protection locked="0"/>
    </xf>
    <xf numFmtId="0" fontId="56" fillId="59" borderId="65" xfId="0" applyFont="1" applyFill="1" applyBorder="1" applyProtection="1">
      <alignment vertical="center"/>
      <protection locked="0"/>
    </xf>
    <xf numFmtId="0" fontId="56" fillId="59" borderId="66" xfId="0" applyFont="1" applyFill="1" applyBorder="1" applyProtection="1">
      <alignment vertical="center"/>
      <protection locked="0"/>
    </xf>
    <xf numFmtId="0" fontId="56" fillId="59" borderId="67" xfId="0" applyFont="1" applyFill="1" applyBorder="1" applyProtection="1">
      <alignment vertical="center"/>
      <protection locked="0"/>
    </xf>
    <xf numFmtId="3" fontId="199" fillId="59" borderId="0" xfId="0" applyNumberFormat="1" applyFont="1" applyFill="1" applyBorder="1" applyAlignment="1" applyProtection="1">
      <alignment horizontal="left" vertical="center"/>
      <protection locked="0"/>
    </xf>
    <xf numFmtId="40" fontId="33" fillId="59" borderId="10" xfId="35" applyNumberFormat="1" applyFont="1" applyFill="1" applyBorder="1" applyAlignment="1" applyProtection="1">
      <alignment horizontal="right" vertical="center"/>
      <protection locked="0"/>
    </xf>
    <xf numFmtId="0" fontId="200" fillId="27" borderId="0" xfId="0" applyFont="1" applyFill="1" applyBorder="1" applyProtection="1">
      <alignment vertical="center"/>
    </xf>
    <xf numFmtId="181" fontId="28" fillId="27" borderId="12" xfId="0" applyNumberFormat="1" applyFont="1" applyFill="1" applyBorder="1" applyAlignment="1" applyProtection="1">
      <alignment horizontal="left" vertical="center" wrapText="1"/>
      <protection hidden="1"/>
    </xf>
    <xf numFmtId="0" fontId="23" fillId="0" borderId="112" xfId="0" applyFont="1" applyFill="1" applyBorder="1" applyAlignment="1" applyProtection="1">
      <alignment horizontal="center" vertical="center"/>
      <protection hidden="1"/>
    </xf>
    <xf numFmtId="181" fontId="28" fillId="27" borderId="164" xfId="0" applyNumberFormat="1" applyFont="1" applyFill="1" applyBorder="1" applyAlignment="1" applyProtection="1">
      <alignment horizontal="left" vertical="center"/>
      <protection hidden="1"/>
    </xf>
    <xf numFmtId="0" fontId="28" fillId="27" borderId="12" xfId="0" applyFont="1" applyFill="1" applyBorder="1" applyAlignment="1" applyProtection="1">
      <alignment horizontal="center" vertical="center" wrapText="1"/>
      <protection hidden="1"/>
    </xf>
    <xf numFmtId="0" fontId="28" fillId="27" borderId="196" xfId="0" applyFont="1" applyFill="1" applyBorder="1" applyAlignment="1" applyProtection="1">
      <alignment horizontal="center" vertical="center" wrapText="1"/>
      <protection hidden="1"/>
    </xf>
    <xf numFmtId="0" fontId="28" fillId="27" borderId="169" xfId="0" applyFont="1" applyFill="1" applyBorder="1" applyAlignment="1" applyProtection="1">
      <alignment horizontal="center" vertical="center" wrapText="1"/>
      <protection hidden="1"/>
    </xf>
    <xf numFmtId="0" fontId="28" fillId="27" borderId="198" xfId="0" applyFont="1" applyFill="1" applyBorder="1" applyAlignment="1" applyProtection="1">
      <alignment horizontal="center" vertical="center" wrapText="1"/>
      <protection hidden="1"/>
    </xf>
    <xf numFmtId="0" fontId="28" fillId="27" borderId="14" xfId="0" applyFont="1" applyFill="1" applyBorder="1" applyAlignment="1" applyProtection="1">
      <alignment horizontal="center" vertical="center" wrapText="1"/>
      <protection hidden="1"/>
    </xf>
    <xf numFmtId="0" fontId="28" fillId="27" borderId="170" xfId="0" applyFont="1" applyFill="1" applyBorder="1" applyAlignment="1" applyProtection="1">
      <alignment horizontal="center" vertical="center" wrapText="1"/>
      <protection hidden="1"/>
    </xf>
    <xf numFmtId="0" fontId="67" fillId="0" borderId="0" xfId="0" applyFont="1" applyFill="1" applyAlignment="1" applyProtection="1">
      <alignment horizontal="left" vertical="top"/>
      <protection hidden="1"/>
    </xf>
    <xf numFmtId="0" fontId="28" fillId="27" borderId="0" xfId="0" applyFont="1" applyFill="1" applyBorder="1" applyAlignment="1" applyProtection="1">
      <alignment horizontal="left" vertical="center" shrinkToFit="1"/>
      <protection hidden="1"/>
    </xf>
    <xf numFmtId="0" fontId="28" fillId="0" borderId="52" xfId="0" applyFont="1" applyBorder="1" applyAlignment="1" applyProtection="1">
      <alignment vertical="center"/>
      <protection hidden="1"/>
    </xf>
    <xf numFmtId="0" fontId="37" fillId="27" borderId="27" xfId="0" applyFont="1" applyFill="1" applyBorder="1" applyAlignment="1" applyProtection="1">
      <alignment horizontal="centerContinuous" vertical="center"/>
      <protection hidden="1"/>
    </xf>
    <xf numFmtId="0" fontId="37" fillId="27" borderId="26" xfId="0" applyFont="1" applyFill="1" applyBorder="1" applyAlignment="1" applyProtection="1">
      <alignment horizontal="centerContinuous" vertical="center"/>
      <protection hidden="1"/>
    </xf>
    <xf numFmtId="0" fontId="45" fillId="54" borderId="50" xfId="35" applyNumberFormat="1" applyFont="1" applyFill="1" applyBorder="1" applyAlignment="1" applyProtection="1">
      <alignment horizontal="center" vertical="center"/>
      <protection hidden="1"/>
    </xf>
    <xf numFmtId="0" fontId="125" fillId="31" borderId="50" xfId="35" applyNumberFormat="1" applyFont="1" applyFill="1" applyBorder="1" applyAlignment="1" applyProtection="1">
      <alignment horizontal="center" vertical="center"/>
      <protection hidden="1"/>
    </xf>
    <xf numFmtId="0" fontId="125" fillId="31" borderId="57" xfId="35" applyNumberFormat="1" applyFont="1" applyFill="1" applyBorder="1" applyAlignment="1" applyProtection="1">
      <alignment horizontal="center" vertical="center"/>
      <protection hidden="1"/>
    </xf>
    <xf numFmtId="0" fontId="125" fillId="31" borderId="57" xfId="0" applyNumberFormat="1" applyFont="1" applyFill="1" applyBorder="1" applyAlignment="1" applyProtection="1">
      <alignment horizontal="center" vertical="top" wrapText="1"/>
      <protection hidden="1"/>
    </xf>
    <xf numFmtId="0" fontId="45" fillId="32" borderId="50" xfId="0" applyNumberFormat="1" applyFont="1" applyFill="1" applyBorder="1" applyAlignment="1" applyProtection="1">
      <alignment horizontal="center" vertical="center"/>
      <protection hidden="1"/>
    </xf>
    <xf numFmtId="0" fontId="125" fillId="31" borderId="50" xfId="0" applyNumberFormat="1" applyFont="1" applyFill="1" applyBorder="1" applyAlignment="1" applyProtection="1">
      <alignment horizontal="center" vertical="center"/>
      <protection hidden="1"/>
    </xf>
    <xf numFmtId="0" fontId="125" fillId="31" borderId="57" xfId="0" applyNumberFormat="1" applyFont="1" applyFill="1" applyBorder="1" applyAlignment="1" applyProtection="1">
      <alignment horizontal="center" vertical="center"/>
      <protection hidden="1"/>
    </xf>
    <xf numFmtId="0" fontId="45" fillId="43" borderId="57" xfId="0" applyNumberFormat="1" applyFont="1" applyFill="1" applyBorder="1" applyAlignment="1" applyProtection="1">
      <alignment horizontal="center" vertical="center"/>
      <protection hidden="1"/>
    </xf>
    <xf numFmtId="0" fontId="28" fillId="0" borderId="0" xfId="0" applyFont="1" applyProtection="1">
      <alignment vertical="center"/>
      <protection hidden="1"/>
    </xf>
    <xf numFmtId="0" fontId="28" fillId="0" borderId="0" xfId="0" applyFont="1" applyFill="1" applyBorder="1" applyAlignment="1" applyProtection="1">
      <alignment horizontal="left" vertical="top" wrapText="1"/>
      <protection hidden="1"/>
    </xf>
    <xf numFmtId="0" fontId="0" fillId="0" borderId="0" xfId="0" applyFont="1" applyProtection="1">
      <alignment vertical="center"/>
      <protection hidden="1"/>
    </xf>
    <xf numFmtId="0" fontId="28" fillId="0" borderId="0" xfId="0" applyFont="1" applyFill="1" applyBorder="1" applyAlignment="1" applyProtection="1">
      <alignment horizontal="left" vertical="top"/>
      <protection hidden="1"/>
    </xf>
    <xf numFmtId="0" fontId="28" fillId="0" borderId="53" xfId="0" applyFont="1" applyBorder="1" applyAlignment="1" applyProtection="1">
      <alignment vertical="center"/>
      <protection hidden="1"/>
    </xf>
    <xf numFmtId="0" fontId="28" fillId="0" borderId="0" xfId="0" applyFont="1" applyAlignment="1" applyProtection="1">
      <alignment vertical="center"/>
      <protection hidden="1"/>
    </xf>
    <xf numFmtId="0" fontId="28" fillId="0" borderId="0" xfId="0" applyFont="1" applyBorder="1" applyAlignment="1" applyProtection="1">
      <alignment vertical="center"/>
      <protection hidden="1"/>
    </xf>
    <xf numFmtId="0" fontId="67" fillId="59" borderId="59" xfId="0" applyFont="1" applyFill="1" applyBorder="1" applyAlignment="1" applyProtection="1">
      <alignment vertical="center"/>
      <protection locked="0"/>
    </xf>
    <xf numFmtId="0" fontId="67" fillId="59" borderId="0" xfId="0" applyFont="1" applyFill="1" applyBorder="1" applyAlignment="1" applyProtection="1">
      <alignment vertical="center"/>
      <protection locked="0"/>
    </xf>
    <xf numFmtId="0" fontId="67" fillId="59" borderId="63" xfId="0" applyFont="1" applyFill="1" applyBorder="1" applyAlignment="1" applyProtection="1">
      <alignment vertical="center"/>
      <protection locked="0"/>
    </xf>
    <xf numFmtId="4" fontId="23" fillId="0" borderId="0" xfId="48" applyNumberFormat="1" applyFont="1" applyFill="1" applyBorder="1" applyAlignment="1" applyProtection="1">
      <alignment vertical="center"/>
      <protection hidden="1"/>
    </xf>
    <xf numFmtId="0" fontId="125" fillId="0" borderId="258" xfId="0" applyNumberFormat="1" applyFont="1" applyFill="1" applyBorder="1" applyAlignment="1" applyProtection="1">
      <alignment horizontal="center" vertical="center"/>
      <protection hidden="1"/>
    </xf>
    <xf numFmtId="0" fontId="125" fillId="0" borderId="256" xfId="0" applyNumberFormat="1" applyFont="1" applyFill="1" applyBorder="1" applyAlignment="1" applyProtection="1">
      <alignment horizontal="center" vertical="center"/>
      <protection hidden="1"/>
    </xf>
    <xf numFmtId="0" fontId="125" fillId="0" borderId="259" xfId="0" applyNumberFormat="1" applyFont="1" applyFill="1" applyBorder="1" applyAlignment="1" applyProtection="1">
      <alignment horizontal="center" vertical="center"/>
      <protection hidden="1"/>
    </xf>
    <xf numFmtId="0" fontId="125" fillId="0" borderId="17" xfId="0" applyFont="1" applyFill="1" applyBorder="1" applyAlignment="1" applyProtection="1">
      <alignment horizontal="center" vertical="top"/>
      <protection hidden="1"/>
    </xf>
    <xf numFmtId="0" fontId="33" fillId="54" borderId="62" xfId="0" applyFont="1" applyFill="1" applyBorder="1" applyAlignment="1" applyProtection="1">
      <alignment vertical="top" wrapText="1"/>
      <protection hidden="1"/>
    </xf>
    <xf numFmtId="0" fontId="33" fillId="54" borderId="118" xfId="0" applyFont="1" applyFill="1" applyBorder="1" applyAlignment="1" applyProtection="1">
      <alignment vertical="top" wrapText="1"/>
      <protection hidden="1"/>
    </xf>
    <xf numFmtId="227" fontId="125" fillId="0" borderId="258" xfId="0" applyNumberFormat="1" applyFont="1" applyFill="1" applyBorder="1" applyAlignment="1" applyProtection="1">
      <alignment horizontal="center" vertical="center"/>
      <protection hidden="1"/>
    </xf>
    <xf numFmtId="0" fontId="33" fillId="54" borderId="120" xfId="0" applyFont="1" applyFill="1" applyBorder="1" applyAlignment="1" applyProtection="1">
      <alignment vertical="top" wrapText="1"/>
      <protection hidden="1"/>
    </xf>
    <xf numFmtId="0" fontId="125" fillId="0" borderId="63" xfId="0" applyFont="1" applyFill="1" applyBorder="1" applyAlignment="1" applyProtection="1">
      <alignment horizontal="center" vertical="top"/>
      <protection hidden="1"/>
    </xf>
    <xf numFmtId="0" fontId="125" fillId="0" borderId="258" xfId="0" applyFont="1" applyFill="1" applyBorder="1" applyAlignment="1" applyProtection="1">
      <alignment horizontal="center" vertical="center"/>
      <protection hidden="1"/>
    </xf>
    <xf numFmtId="0" fontId="125" fillId="0" borderId="271" xfId="0" applyFont="1" applyFill="1" applyBorder="1" applyAlignment="1" applyProtection="1">
      <alignment horizontal="center" vertical="center"/>
      <protection hidden="1"/>
    </xf>
    <xf numFmtId="0" fontId="28" fillId="0" borderId="62" xfId="0" applyFont="1" applyFill="1" applyBorder="1" applyAlignment="1" applyProtection="1">
      <alignment vertical="top" wrapText="1"/>
      <protection hidden="1"/>
    </xf>
    <xf numFmtId="0" fontId="28" fillId="0" borderId="65" xfId="0" applyFont="1" applyFill="1" applyBorder="1" applyAlignment="1" applyProtection="1">
      <alignment vertical="top" wrapText="1"/>
      <protection hidden="1"/>
    </xf>
    <xf numFmtId="0" fontId="28" fillId="0" borderId="66" xfId="0" applyFont="1" applyBorder="1" applyProtection="1">
      <alignment vertical="center"/>
      <protection hidden="1"/>
    </xf>
    <xf numFmtId="0" fontId="28" fillId="0" borderId="84" xfId="0" applyFont="1" applyBorder="1" applyProtection="1">
      <alignment vertical="center"/>
      <protection hidden="1"/>
    </xf>
    <xf numFmtId="178" fontId="125" fillId="0" borderId="257" xfId="0" applyNumberFormat="1" applyFont="1" applyFill="1" applyBorder="1" applyAlignment="1" applyProtection="1">
      <alignment horizontal="center" vertical="center"/>
      <protection hidden="1"/>
    </xf>
    <xf numFmtId="0" fontId="23" fillId="0" borderId="0" xfId="0" applyFont="1" applyFill="1" applyBorder="1" applyAlignment="1" applyProtection="1">
      <alignment horizontal="center" vertical="center" wrapText="1"/>
      <protection hidden="1"/>
    </xf>
    <xf numFmtId="0" fontId="201" fillId="0" borderId="10" xfId="49" applyFont="1" applyFill="1" applyBorder="1" applyAlignment="1" applyProtection="1">
      <alignment horizontal="left" vertical="center" wrapText="1"/>
      <protection locked="0"/>
    </xf>
    <xf numFmtId="0" fontId="202" fillId="0" borderId="161" xfId="49" applyFont="1" applyBorder="1" applyAlignment="1" applyProtection="1">
      <alignment vertical="center" shrinkToFit="1"/>
      <protection hidden="1"/>
    </xf>
    <xf numFmtId="0" fontId="202" fillId="0" borderId="10" xfId="49" applyFont="1" applyBorder="1" applyProtection="1">
      <alignment vertical="center"/>
      <protection hidden="1"/>
    </xf>
    <xf numFmtId="0" fontId="201" fillId="0" borderId="10" xfId="49" applyFont="1" applyBorder="1" applyAlignment="1" applyProtection="1">
      <alignment horizontal="left" vertical="center" wrapText="1"/>
      <protection hidden="1"/>
    </xf>
    <xf numFmtId="0" fontId="177" fillId="0" borderId="0" xfId="49" applyProtection="1">
      <alignment vertical="center"/>
      <protection hidden="1"/>
    </xf>
    <xf numFmtId="0" fontId="177" fillId="58" borderId="272" xfId="49" applyFill="1" applyBorder="1" applyAlignment="1" applyProtection="1">
      <alignment horizontal="center" vertical="center"/>
      <protection hidden="1"/>
    </xf>
    <xf numFmtId="0" fontId="178" fillId="58" borderId="273" xfId="49" applyFont="1" applyFill="1" applyBorder="1" applyAlignment="1" applyProtection="1">
      <alignment horizontal="center" vertical="center"/>
      <protection hidden="1"/>
    </xf>
    <xf numFmtId="0" fontId="177" fillId="58" borderId="273" xfId="49" applyFill="1" applyBorder="1" applyAlignment="1" applyProtection="1">
      <alignment horizontal="center" vertical="center" shrinkToFit="1"/>
      <protection hidden="1"/>
    </xf>
    <xf numFmtId="0" fontId="177" fillId="58" borderId="273" xfId="49" applyFill="1" applyBorder="1" applyAlignment="1" applyProtection="1">
      <alignment horizontal="center" vertical="center"/>
      <protection hidden="1"/>
    </xf>
    <xf numFmtId="0" fontId="177" fillId="58" borderId="274" xfId="49" applyFill="1" applyBorder="1" applyAlignment="1" applyProtection="1">
      <alignment horizontal="center" vertical="center"/>
      <protection hidden="1"/>
    </xf>
    <xf numFmtId="0" fontId="177" fillId="0" borderId="275" xfId="49" applyBorder="1" applyProtection="1">
      <alignment vertical="center"/>
      <protection hidden="1"/>
    </xf>
    <xf numFmtId="0" fontId="177" fillId="0" borderId="178" xfId="49" applyBorder="1" applyProtection="1">
      <alignment vertical="center"/>
      <protection hidden="1"/>
    </xf>
    <xf numFmtId="0" fontId="177" fillId="0" borderId="178" xfId="49" applyBorder="1" applyAlignment="1" applyProtection="1">
      <alignment horizontal="center" vertical="center" shrinkToFit="1"/>
      <protection hidden="1"/>
    </xf>
    <xf numFmtId="0" fontId="177" fillId="60" borderId="178" xfId="49" applyFill="1" applyBorder="1" applyProtection="1">
      <alignment vertical="center"/>
      <protection hidden="1"/>
    </xf>
    <xf numFmtId="0" fontId="177" fillId="60" borderId="276" xfId="49" applyFill="1" applyBorder="1" applyProtection="1">
      <alignment vertical="center"/>
      <protection hidden="1"/>
    </xf>
    <xf numFmtId="0" fontId="177" fillId="0" borderId="277" xfId="49" applyBorder="1" applyProtection="1">
      <alignment vertical="center"/>
      <protection hidden="1"/>
    </xf>
    <xf numFmtId="0" fontId="177" fillId="0" borderId="136" xfId="49" applyBorder="1" applyProtection="1">
      <alignment vertical="center"/>
      <protection hidden="1"/>
    </xf>
    <xf numFmtId="0" fontId="177" fillId="0" borderId="136" xfId="49" applyBorder="1" applyAlignment="1" applyProtection="1">
      <alignment horizontal="center" vertical="center" shrinkToFit="1"/>
      <protection hidden="1"/>
    </xf>
    <xf numFmtId="0" fontId="177" fillId="60" borderId="136" xfId="49" applyFill="1" applyBorder="1" applyProtection="1">
      <alignment vertical="center"/>
      <protection hidden="1"/>
    </xf>
    <xf numFmtId="0" fontId="177" fillId="60" borderId="157" xfId="49" applyFill="1" applyBorder="1" applyProtection="1">
      <alignment vertical="center"/>
      <protection hidden="1"/>
    </xf>
    <xf numFmtId="0" fontId="177" fillId="0" borderId="69" xfId="49" applyBorder="1" applyProtection="1">
      <alignment vertical="center"/>
      <protection hidden="1"/>
    </xf>
    <xf numFmtId="0" fontId="177" fillId="0" borderId="69" xfId="49" applyBorder="1" applyAlignment="1" applyProtection="1">
      <alignment horizontal="center" vertical="center" shrinkToFit="1"/>
      <protection hidden="1"/>
    </xf>
    <xf numFmtId="0" fontId="177" fillId="0" borderId="69" xfId="49" applyFill="1" applyBorder="1" applyProtection="1">
      <alignment vertical="center"/>
      <protection hidden="1"/>
    </xf>
    <xf numFmtId="0" fontId="6" fillId="27" borderId="0" xfId="45" applyFont="1" applyFill="1" applyBorder="1" applyAlignment="1" applyProtection="1">
      <alignment vertical="center"/>
    </xf>
    <xf numFmtId="0" fontId="6" fillId="27" borderId="0" xfId="0" applyFont="1" applyFill="1" applyBorder="1" applyProtection="1">
      <alignment vertical="center"/>
    </xf>
    <xf numFmtId="0" fontId="6" fillId="27" borderId="62" xfId="0" applyFont="1" applyFill="1" applyBorder="1" applyProtection="1">
      <alignment vertical="center"/>
    </xf>
    <xf numFmtId="0" fontId="6" fillId="27" borderId="65" xfId="0" applyFont="1" applyFill="1" applyBorder="1" applyProtection="1">
      <alignment vertical="center"/>
    </xf>
    <xf numFmtId="0" fontId="6" fillId="27" borderId="66" xfId="0" applyFont="1" applyFill="1" applyBorder="1" applyProtection="1">
      <alignment vertical="center"/>
    </xf>
    <xf numFmtId="0" fontId="6" fillId="27" borderId="67" xfId="0" applyFont="1" applyFill="1" applyBorder="1" applyProtection="1">
      <alignment vertical="center"/>
    </xf>
    <xf numFmtId="0" fontId="28" fillId="59" borderId="172" xfId="0" applyNumberFormat="1" applyFont="1" applyFill="1" applyBorder="1" applyAlignment="1" applyProtection="1">
      <alignment horizontal="center" vertical="center"/>
      <protection locked="0"/>
    </xf>
    <xf numFmtId="0" fontId="33" fillId="27" borderId="12" xfId="0" applyFont="1" applyFill="1" applyBorder="1" applyAlignment="1" applyProtection="1">
      <alignment vertical="top" shrinkToFit="1"/>
      <protection hidden="1"/>
    </xf>
    <xf numFmtId="0" fontId="33" fillId="27" borderId="13" xfId="0" applyFont="1" applyFill="1" applyBorder="1" applyAlignment="1" applyProtection="1">
      <alignment vertical="top" shrinkToFit="1"/>
      <protection hidden="1"/>
    </xf>
    <xf numFmtId="0" fontId="33" fillId="27" borderId="14" xfId="0" applyFont="1" applyFill="1" applyBorder="1" applyAlignment="1" applyProtection="1">
      <alignment vertical="top" shrinkToFit="1"/>
      <protection hidden="1"/>
    </xf>
    <xf numFmtId="0" fontId="33" fillId="0" borderId="26" xfId="0" applyFont="1" applyFill="1" applyBorder="1" applyAlignment="1" applyProtection="1">
      <alignment horizontal="left" vertical="center" shrinkToFit="1"/>
      <protection locked="0"/>
    </xf>
    <xf numFmtId="0" fontId="33" fillId="0" borderId="50" xfId="0" applyFont="1" applyFill="1" applyBorder="1" applyAlignment="1" applyProtection="1">
      <alignment horizontal="left" vertical="center" shrinkToFit="1"/>
      <protection locked="0"/>
    </xf>
    <xf numFmtId="0" fontId="33" fillId="0" borderId="27" xfId="0" applyFont="1" applyFill="1" applyBorder="1" applyAlignment="1" applyProtection="1">
      <alignment horizontal="left" vertical="center" shrinkToFit="1"/>
      <protection locked="0"/>
    </xf>
    <xf numFmtId="0" fontId="33" fillId="0" borderId="26" xfId="0" applyFont="1" applyFill="1" applyBorder="1" applyAlignment="1" applyProtection="1">
      <alignment horizontal="left" vertical="center"/>
      <protection locked="0"/>
    </xf>
    <xf numFmtId="0" fontId="33" fillId="0" borderId="50" xfId="0" applyFont="1" applyFill="1" applyBorder="1" applyAlignment="1" applyProtection="1">
      <alignment horizontal="left" vertical="center"/>
      <protection locked="0"/>
    </xf>
    <xf numFmtId="0" fontId="33" fillId="29" borderId="27" xfId="0" applyFont="1" applyFill="1" applyBorder="1" applyAlignment="1" applyProtection="1">
      <alignment horizontal="left" vertical="center"/>
      <protection locked="0"/>
    </xf>
    <xf numFmtId="0" fontId="33" fillId="29" borderId="27" xfId="0" applyFont="1" applyFill="1" applyBorder="1" applyAlignment="1" applyProtection="1">
      <alignment horizontal="left" vertical="center" shrinkToFit="1"/>
      <protection locked="0"/>
    </xf>
    <xf numFmtId="0" fontId="33" fillId="27" borderId="26" xfId="0" applyFont="1" applyFill="1" applyBorder="1" applyAlignment="1" applyProtection="1">
      <alignment horizontal="left" vertical="center" shrinkToFit="1"/>
    </xf>
    <xf numFmtId="0" fontId="33" fillId="27" borderId="50" xfId="0" applyFont="1" applyFill="1" applyBorder="1" applyAlignment="1" applyProtection="1">
      <alignment horizontal="left" vertical="center" shrinkToFit="1"/>
    </xf>
    <xf numFmtId="0" fontId="33" fillId="27" borderId="27" xfId="0" applyFont="1" applyFill="1" applyBorder="1" applyAlignment="1" applyProtection="1">
      <alignment horizontal="left" vertical="center" shrinkToFit="1"/>
    </xf>
    <xf numFmtId="0" fontId="45" fillId="0" borderId="211" xfId="29" applyNumberFormat="1" applyFont="1" applyFill="1" applyBorder="1" applyAlignment="1" applyProtection="1">
      <alignment horizontal="center" vertical="center"/>
      <protection hidden="1"/>
    </xf>
    <xf numFmtId="0" fontId="45" fillId="0" borderId="212" xfId="29" applyNumberFormat="1" applyFont="1" applyFill="1" applyBorder="1" applyAlignment="1" applyProtection="1">
      <alignment horizontal="center" vertical="center"/>
      <protection hidden="1"/>
    </xf>
    <xf numFmtId="0" fontId="45" fillId="0" borderId="213" xfId="29" applyNumberFormat="1" applyFont="1" applyFill="1" applyBorder="1" applyAlignment="1" applyProtection="1">
      <alignment horizontal="center" vertical="center"/>
      <protection hidden="1"/>
    </xf>
    <xf numFmtId="0" fontId="36"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0" fontId="29" fillId="0" borderId="65" xfId="0" applyFont="1" applyFill="1" applyBorder="1" applyAlignment="1" applyProtection="1">
      <alignment horizontal="left" vertical="top" wrapText="1"/>
      <protection hidden="1"/>
    </xf>
    <xf numFmtId="0" fontId="29" fillId="29" borderId="66" xfId="0" applyFont="1" applyFill="1" applyBorder="1" applyAlignment="1" applyProtection="1">
      <alignment horizontal="left" vertical="top" wrapText="1"/>
      <protection hidden="1"/>
    </xf>
    <xf numFmtId="0" fontId="29" fillId="29" borderId="84" xfId="0" applyFont="1" applyFill="1" applyBorder="1" applyAlignment="1" applyProtection="1">
      <alignment horizontal="left" vertical="top" wrapText="1"/>
      <protection hidden="1"/>
    </xf>
    <xf numFmtId="0" fontId="29" fillId="0" borderId="83" xfId="0" applyFont="1" applyFill="1" applyBorder="1" applyAlignment="1" applyProtection="1">
      <alignment horizontal="left" vertical="top" wrapText="1"/>
      <protection hidden="1"/>
    </xf>
    <xf numFmtId="0" fontId="29" fillId="29" borderId="67" xfId="0" applyFont="1" applyFill="1" applyBorder="1" applyAlignment="1" applyProtection="1">
      <alignment horizontal="left" vertical="top" wrapText="1"/>
      <protection hidden="1"/>
    </xf>
    <xf numFmtId="55" fontId="33" fillId="0" borderId="81" xfId="0" applyNumberFormat="1" applyFont="1" applyFill="1" applyBorder="1" applyAlignment="1" applyProtection="1">
      <alignment horizontal="left" vertical="center" shrinkToFit="1"/>
      <protection hidden="1"/>
    </xf>
    <xf numFmtId="0" fontId="0" fillId="0" borderId="50" xfId="0" applyBorder="1" applyAlignment="1">
      <alignment vertical="center" shrinkToFit="1"/>
    </xf>
    <xf numFmtId="0" fontId="29" fillId="0" borderId="77" xfId="0" applyFont="1" applyFill="1" applyBorder="1" applyAlignment="1">
      <alignment horizontal="left" vertical="top" wrapText="1"/>
    </xf>
    <xf numFmtId="0" fontId="29" fillId="0" borderId="57" xfId="0" applyFont="1" applyFill="1" applyBorder="1" applyAlignment="1">
      <alignment horizontal="left" vertical="top" wrapText="1"/>
    </xf>
    <xf numFmtId="0" fontId="29" fillId="0" borderId="58" xfId="0" applyFont="1" applyFill="1" applyBorder="1" applyAlignment="1">
      <alignment horizontal="left" vertical="top" wrapText="1"/>
    </xf>
    <xf numFmtId="0" fontId="29" fillId="0" borderId="57" xfId="0" applyFont="1" applyFill="1" applyBorder="1" applyAlignment="1" applyProtection="1">
      <alignment horizontal="left" vertical="top" wrapText="1"/>
      <protection hidden="1"/>
    </xf>
    <xf numFmtId="0" fontId="29" fillId="29" borderId="57" xfId="0" applyFont="1" applyFill="1" applyBorder="1" applyAlignment="1" applyProtection="1">
      <alignment horizontal="left" vertical="top" wrapText="1"/>
      <protection hidden="1"/>
    </xf>
    <xf numFmtId="0" fontId="29" fillId="29" borderId="79" xfId="0" applyFont="1" applyFill="1" applyBorder="1" applyAlignment="1" applyProtection="1">
      <alignment horizontal="left" vertical="top" wrapText="1"/>
      <protection hidden="1"/>
    </xf>
    <xf numFmtId="0" fontId="29" fillId="0" borderId="77" xfId="0" applyFont="1" applyFill="1" applyBorder="1" applyAlignment="1" applyProtection="1">
      <alignment horizontal="left" vertical="top" wrapText="1"/>
      <protection hidden="1"/>
    </xf>
    <xf numFmtId="0" fontId="29" fillId="29" borderId="58" xfId="0" applyFont="1" applyFill="1" applyBorder="1" applyAlignment="1" applyProtection="1">
      <alignment horizontal="left" vertical="top" wrapText="1"/>
      <protection hidden="1"/>
    </xf>
    <xf numFmtId="0" fontId="67" fillId="0" borderId="62" xfId="0" applyFont="1" applyFill="1" applyBorder="1" applyAlignment="1" applyProtection="1">
      <alignment horizontal="left" vertical="center" wrapText="1"/>
      <protection hidden="1"/>
    </xf>
    <xf numFmtId="0" fontId="67" fillId="0" borderId="0" xfId="0" applyFont="1" applyFill="1" applyBorder="1" applyAlignment="1" applyProtection="1">
      <alignment horizontal="left" vertical="center" wrapText="1"/>
      <protection hidden="1"/>
    </xf>
    <xf numFmtId="0" fontId="67" fillId="0" borderId="63" xfId="0" applyFont="1" applyFill="1" applyBorder="1" applyAlignment="1" applyProtection="1">
      <alignment horizontal="left" vertical="center" wrapText="1"/>
      <protection hidden="1"/>
    </xf>
    <xf numFmtId="0" fontId="67" fillId="0" borderId="65" xfId="0" applyFont="1" applyFill="1" applyBorder="1" applyAlignment="1" applyProtection="1">
      <alignment horizontal="left" vertical="center" wrapText="1"/>
      <protection hidden="1"/>
    </xf>
    <xf numFmtId="0" fontId="67" fillId="0" borderId="66" xfId="0" applyFont="1" applyFill="1" applyBorder="1" applyAlignment="1" applyProtection="1">
      <alignment horizontal="left" vertical="center" wrapText="1"/>
      <protection hidden="1"/>
    </xf>
    <xf numFmtId="0" fontId="67" fillId="0" borderId="67" xfId="0" applyFont="1" applyFill="1" applyBorder="1" applyAlignment="1" applyProtection="1">
      <alignment horizontal="left" vertical="center" wrapText="1"/>
      <protection hidden="1"/>
    </xf>
    <xf numFmtId="0" fontId="29" fillId="0" borderId="56" xfId="0" applyFont="1" applyFill="1" applyBorder="1" applyAlignment="1" applyProtection="1">
      <alignment horizontal="left" vertical="top" wrapText="1"/>
      <protection hidden="1"/>
    </xf>
    <xf numFmtId="3" fontId="33" fillId="0" borderId="81" xfId="0" applyNumberFormat="1" applyFont="1" applyFill="1" applyBorder="1" applyAlignment="1" applyProtection="1">
      <alignment vertical="center" shrinkToFit="1"/>
      <protection hidden="1"/>
    </xf>
    <xf numFmtId="3" fontId="33" fillId="0" borderId="50" xfId="0" applyNumberFormat="1" applyFont="1" applyFill="1" applyBorder="1" applyAlignment="1" applyProtection="1">
      <alignment vertical="center" shrinkToFit="1"/>
      <protection hidden="1"/>
    </xf>
    <xf numFmtId="3" fontId="33" fillId="0" borderId="82" xfId="0" applyNumberFormat="1" applyFont="1" applyFill="1" applyBorder="1" applyAlignment="1" applyProtection="1">
      <alignment vertical="center" shrinkToFit="1"/>
      <protection hidden="1"/>
    </xf>
    <xf numFmtId="0" fontId="33" fillId="0" borderId="78" xfId="0" applyNumberFormat="1" applyFont="1" applyFill="1" applyBorder="1" applyAlignment="1" applyProtection="1">
      <alignment vertical="center" shrinkToFit="1"/>
      <protection hidden="1"/>
    </xf>
    <xf numFmtId="0" fontId="33" fillId="0" borderId="57" xfId="0" applyNumberFormat="1" applyFont="1" applyFill="1" applyBorder="1" applyAlignment="1" applyProtection="1">
      <alignment vertical="center" shrinkToFit="1"/>
      <protection hidden="1"/>
    </xf>
    <xf numFmtId="0" fontId="33" fillId="0" borderId="79" xfId="0" applyNumberFormat="1" applyFont="1" applyFill="1" applyBorder="1" applyAlignment="1" applyProtection="1">
      <alignment vertical="center" shrinkToFit="1"/>
      <protection hidden="1"/>
    </xf>
    <xf numFmtId="3" fontId="33" fillId="0" borderId="76" xfId="0" applyNumberFormat="1" applyFont="1" applyFill="1" applyBorder="1" applyAlignment="1" applyProtection="1">
      <alignment vertical="center" shrinkToFit="1"/>
      <protection hidden="1"/>
    </xf>
    <xf numFmtId="3" fontId="33" fillId="0" borderId="0" xfId="0" applyNumberFormat="1" applyFont="1" applyFill="1" applyBorder="1" applyAlignment="1" applyProtection="1">
      <alignment vertical="center" shrinkToFit="1"/>
      <protection hidden="1"/>
    </xf>
    <xf numFmtId="3" fontId="33" fillId="0" borderId="63" xfId="0" applyNumberFormat="1" applyFont="1" applyFill="1" applyBorder="1" applyAlignment="1" applyProtection="1">
      <alignment vertical="center" shrinkToFit="1"/>
      <protection hidden="1"/>
    </xf>
    <xf numFmtId="3" fontId="33" fillId="0" borderId="270" xfId="0" applyNumberFormat="1" applyFont="1" applyFill="1" applyBorder="1" applyAlignment="1" applyProtection="1">
      <alignment vertical="center" shrinkToFit="1"/>
      <protection hidden="1"/>
    </xf>
    <xf numFmtId="3" fontId="33" fillId="0" borderId="53" xfId="0" applyNumberFormat="1" applyFont="1" applyFill="1" applyBorder="1" applyAlignment="1" applyProtection="1">
      <alignment vertical="center" shrinkToFit="1"/>
      <protection hidden="1"/>
    </xf>
    <xf numFmtId="3" fontId="33" fillId="0" borderId="90" xfId="0" applyNumberFormat="1" applyFont="1" applyFill="1" applyBorder="1" applyAlignment="1" applyProtection="1">
      <alignment vertical="center" shrinkToFit="1"/>
      <protection hidden="1"/>
    </xf>
    <xf numFmtId="3" fontId="33" fillId="0" borderId="74" xfId="0" applyNumberFormat="1" applyFont="1" applyFill="1" applyBorder="1" applyAlignment="1" applyProtection="1">
      <alignment vertical="center" shrinkToFit="1"/>
      <protection hidden="1"/>
    </xf>
    <xf numFmtId="3" fontId="33" fillId="0" borderId="73" xfId="0" applyNumberFormat="1" applyFont="1" applyFill="1" applyBorder="1" applyAlignment="1" applyProtection="1">
      <alignment vertical="center" shrinkToFit="1"/>
      <protection hidden="1"/>
    </xf>
    <xf numFmtId="3" fontId="33" fillId="0" borderId="75" xfId="0" applyNumberFormat="1" applyFont="1" applyFill="1" applyBorder="1" applyAlignment="1" applyProtection="1">
      <alignment vertical="center" shrinkToFit="1"/>
      <protection hidden="1"/>
    </xf>
    <xf numFmtId="0" fontId="33" fillId="0" borderId="78" xfId="0" applyFont="1" applyFill="1" applyBorder="1" applyAlignment="1" applyProtection="1">
      <alignment vertical="center" shrinkToFit="1"/>
      <protection hidden="1"/>
    </xf>
    <xf numFmtId="0" fontId="33" fillId="0" borderId="79" xfId="0" applyFont="1" applyFill="1" applyBorder="1" applyAlignment="1" applyProtection="1">
      <alignment vertical="center" shrinkToFit="1"/>
      <protection hidden="1"/>
    </xf>
    <xf numFmtId="0" fontId="33" fillId="0" borderId="76" xfId="0" quotePrefix="1" applyFont="1" applyFill="1" applyBorder="1" applyAlignment="1" applyProtection="1">
      <alignment vertical="center" shrinkToFit="1"/>
      <protection hidden="1"/>
    </xf>
    <xf numFmtId="0" fontId="33" fillId="0" borderId="63" xfId="0" quotePrefix="1" applyFont="1" applyFill="1" applyBorder="1" applyAlignment="1" applyProtection="1">
      <alignment vertical="center" shrinkToFit="1"/>
      <protection hidden="1"/>
    </xf>
    <xf numFmtId="4" fontId="33" fillId="0" borderId="76" xfId="0" applyNumberFormat="1" applyFont="1" applyFill="1" applyBorder="1" applyAlignment="1" applyProtection="1">
      <alignment horizontal="right" vertical="center" shrinkToFit="1"/>
      <protection hidden="1"/>
    </xf>
    <xf numFmtId="4" fontId="33" fillId="0" borderId="0" xfId="0" applyNumberFormat="1" applyFont="1" applyFill="1" applyBorder="1" applyAlignment="1" applyProtection="1">
      <alignment horizontal="right" vertical="center" shrinkToFit="1"/>
      <protection hidden="1"/>
    </xf>
    <xf numFmtId="4" fontId="33" fillId="0" borderId="270" xfId="0" applyNumberFormat="1" applyFont="1" applyFill="1" applyBorder="1" applyAlignment="1" applyProtection="1">
      <alignment horizontal="right" vertical="center" shrinkToFit="1"/>
      <protection hidden="1"/>
    </xf>
    <xf numFmtId="4" fontId="33" fillId="0" borderId="53" xfId="0" applyNumberFormat="1" applyFont="1" applyFill="1" applyBorder="1" applyAlignment="1" applyProtection="1">
      <alignment horizontal="right" vertical="center" shrinkToFit="1"/>
      <protection hidden="1"/>
    </xf>
    <xf numFmtId="14" fontId="33" fillId="0" borderId="76" xfId="0" applyNumberFormat="1" applyFont="1" applyFill="1" applyBorder="1" applyAlignment="1" applyProtection="1">
      <alignment horizontal="left" vertical="center" shrinkToFit="1"/>
      <protection hidden="1"/>
    </xf>
    <xf numFmtId="14" fontId="33" fillId="0" borderId="63" xfId="0" applyNumberFormat="1" applyFont="1" applyFill="1" applyBorder="1" applyAlignment="1" applyProtection="1">
      <alignment horizontal="left" vertical="center" shrinkToFit="1"/>
      <protection hidden="1"/>
    </xf>
    <xf numFmtId="31" fontId="33" fillId="0" borderId="76" xfId="0" applyNumberFormat="1" applyFont="1" applyFill="1" applyBorder="1" applyAlignment="1" applyProtection="1">
      <alignment horizontal="left" vertical="center" shrinkToFit="1"/>
      <protection hidden="1"/>
    </xf>
    <xf numFmtId="31" fontId="33" fillId="0" borderId="63" xfId="0" applyNumberFormat="1" applyFont="1" applyFill="1" applyBorder="1" applyAlignment="1" applyProtection="1">
      <alignment horizontal="left" vertical="center" shrinkToFit="1"/>
      <protection hidden="1"/>
    </xf>
    <xf numFmtId="31" fontId="33" fillId="0" borderId="270" xfId="0" applyNumberFormat="1" applyFont="1" applyFill="1" applyBorder="1" applyAlignment="1" applyProtection="1">
      <alignment horizontal="left" vertical="center" shrinkToFit="1"/>
      <protection hidden="1"/>
    </xf>
    <xf numFmtId="31" fontId="33" fillId="0" borderId="90" xfId="0" applyNumberFormat="1" applyFont="1" applyFill="1" applyBorder="1" applyAlignment="1" applyProtection="1">
      <alignment horizontal="left" vertical="center" shrinkToFit="1"/>
      <protection hidden="1"/>
    </xf>
    <xf numFmtId="55" fontId="33" fillId="0" borderId="78" xfId="0" applyNumberFormat="1" applyFont="1" applyFill="1" applyBorder="1" applyAlignment="1" applyProtection="1">
      <alignment horizontal="left" vertical="center"/>
      <protection hidden="1"/>
    </xf>
    <xf numFmtId="0" fontId="0" fillId="0" borderId="57" xfId="0" applyBorder="1">
      <alignment vertical="center"/>
    </xf>
    <xf numFmtId="0" fontId="173" fillId="0" borderId="256" xfId="48" applyFont="1" applyFill="1" applyBorder="1" applyAlignment="1" applyProtection="1">
      <alignment horizontal="center" vertical="center"/>
      <protection hidden="1"/>
    </xf>
    <xf numFmtId="0" fontId="173" fillId="0" borderId="257" xfId="48" applyFont="1" applyFill="1" applyBorder="1" applyAlignment="1" applyProtection="1">
      <alignment horizontal="center" vertical="center"/>
      <protection hidden="1"/>
    </xf>
    <xf numFmtId="0" fontId="172" fillId="0" borderId="0" xfId="48" applyFont="1" applyBorder="1" applyAlignment="1" applyProtection="1">
      <alignment horizontal="center" vertical="center"/>
      <protection hidden="1"/>
    </xf>
    <xf numFmtId="0" fontId="172" fillId="0" borderId="63" xfId="48" applyFont="1" applyBorder="1" applyAlignment="1" applyProtection="1">
      <alignment horizontal="center" vertical="center"/>
      <protection hidden="1"/>
    </xf>
    <xf numFmtId="0" fontId="146" fillId="54" borderId="53" xfId="48" applyFont="1" applyFill="1" applyBorder="1" applyAlignment="1" applyProtection="1">
      <alignment horizontal="left" vertical="center" wrapText="1"/>
      <protection hidden="1"/>
    </xf>
    <xf numFmtId="177" fontId="148" fillId="54" borderId="53" xfId="48" applyNumberFormat="1" applyFont="1" applyFill="1" applyBorder="1" applyAlignment="1" applyProtection="1">
      <alignment horizontal="center" vertical="center"/>
      <protection hidden="1"/>
    </xf>
    <xf numFmtId="0" fontId="23" fillId="29" borderId="255" xfId="0" applyFont="1" applyFill="1" applyBorder="1" applyAlignment="1" applyProtection="1">
      <alignment horizontal="left" shrinkToFit="1"/>
      <protection hidden="1"/>
    </xf>
    <xf numFmtId="0" fontId="23" fillId="0" borderId="0" xfId="48" applyFont="1" applyFill="1" applyBorder="1" applyAlignment="1" applyProtection="1">
      <alignment horizontal="left" vertical="center" shrinkToFit="1"/>
      <protection hidden="1"/>
    </xf>
    <xf numFmtId="0" fontId="33" fillId="0" borderId="60" xfId="48" applyFont="1" applyBorder="1" applyAlignment="1" applyProtection="1">
      <alignment horizontal="right" vertical="center"/>
      <protection hidden="1"/>
    </xf>
    <xf numFmtId="0" fontId="33" fillId="0" borderId="0" xfId="48" applyFont="1" applyBorder="1" applyAlignment="1" applyProtection="1">
      <alignment horizontal="right" vertical="center"/>
      <protection hidden="1"/>
    </xf>
    <xf numFmtId="177" fontId="173" fillId="0" borderId="256" xfId="48" applyNumberFormat="1" applyFont="1" applyFill="1" applyBorder="1" applyAlignment="1" applyProtection="1">
      <alignment horizontal="center" vertical="center"/>
      <protection hidden="1"/>
    </xf>
    <xf numFmtId="177" fontId="173" fillId="0" borderId="257" xfId="48" applyNumberFormat="1" applyFont="1" applyFill="1" applyBorder="1" applyAlignment="1" applyProtection="1">
      <alignment horizontal="center" vertical="center"/>
      <protection hidden="1"/>
    </xf>
    <xf numFmtId="0" fontId="23" fillId="0" borderId="0" xfId="48" applyFont="1" applyFill="1" applyBorder="1" applyAlignment="1" applyProtection="1">
      <alignment horizontal="left" vertical="top" wrapText="1"/>
      <protection hidden="1"/>
    </xf>
    <xf numFmtId="0" fontId="0" fillId="0" borderId="0" xfId="0" applyBorder="1" applyProtection="1">
      <alignment vertical="center"/>
      <protection hidden="1"/>
    </xf>
    <xf numFmtId="0" fontId="0" fillId="0" borderId="0" xfId="0" applyFont="1" applyBorder="1" applyProtection="1">
      <alignment vertical="center"/>
      <protection hidden="1"/>
    </xf>
    <xf numFmtId="0" fontId="0" fillId="0" borderId="63" xfId="0" applyFont="1" applyBorder="1" applyProtection="1">
      <alignment vertical="center"/>
      <protection hidden="1"/>
    </xf>
    <xf numFmtId="0" fontId="23" fillId="0" borderId="66" xfId="48" applyFont="1" applyFill="1" applyBorder="1" applyAlignment="1" applyProtection="1">
      <alignment horizontal="left" vertical="top" wrapText="1"/>
      <protection hidden="1"/>
    </xf>
    <xf numFmtId="0" fontId="0" fillId="0" borderId="66" xfId="0" applyBorder="1" applyProtection="1">
      <alignment vertical="center"/>
      <protection hidden="1"/>
    </xf>
    <xf numFmtId="0" fontId="0" fillId="0" borderId="66" xfId="0" applyFont="1" applyBorder="1" applyProtection="1">
      <alignment vertical="center"/>
      <protection hidden="1"/>
    </xf>
    <xf numFmtId="0" fontId="0" fillId="0" borderId="67" xfId="0" applyFont="1" applyBorder="1" applyProtection="1">
      <alignment vertical="center"/>
      <protection hidden="1"/>
    </xf>
    <xf numFmtId="0" fontId="32" fillId="35" borderId="57" xfId="0" applyFont="1" applyFill="1" applyBorder="1" applyAlignment="1" applyProtection="1">
      <alignment horizontal="center" vertical="center"/>
      <protection hidden="1"/>
    </xf>
    <xf numFmtId="0" fontId="32" fillId="35" borderId="58" xfId="0" applyFont="1" applyFill="1" applyBorder="1" applyAlignment="1" applyProtection="1">
      <alignment horizontal="center" vertical="center"/>
      <protection hidden="1"/>
    </xf>
    <xf numFmtId="0" fontId="173" fillId="54" borderId="0" xfId="48" applyFont="1" applyFill="1" applyBorder="1" applyAlignment="1" applyProtection="1">
      <alignment horizontal="left" vertical="center" wrapText="1"/>
      <protection hidden="1"/>
    </xf>
    <xf numFmtId="177" fontId="0" fillId="54" borderId="0" xfId="48" applyNumberFormat="1" applyFont="1" applyFill="1" applyBorder="1" applyAlignment="1" applyProtection="1">
      <alignment horizontal="center" vertical="center"/>
      <protection hidden="1"/>
    </xf>
    <xf numFmtId="0" fontId="23" fillId="54" borderId="57" xfId="48" applyFont="1" applyFill="1" applyBorder="1" applyAlignment="1" applyProtection="1">
      <alignment horizontal="left" vertical="center" wrapText="1"/>
      <protection hidden="1"/>
    </xf>
    <xf numFmtId="177" fontId="0" fillId="54" borderId="57" xfId="48" applyNumberFormat="1" applyFont="1" applyFill="1" applyBorder="1" applyAlignment="1" applyProtection="1">
      <alignment horizontal="center" vertical="center"/>
      <protection hidden="1"/>
    </xf>
    <xf numFmtId="0" fontId="146" fillId="32" borderId="53" xfId="48" applyFont="1" applyFill="1" applyBorder="1" applyAlignment="1" applyProtection="1">
      <alignment horizontal="left" vertical="center" wrapText="1"/>
      <protection hidden="1"/>
    </xf>
    <xf numFmtId="177" fontId="148" fillId="32" borderId="53" xfId="48" applyNumberFormat="1" applyFont="1" applyFill="1" applyBorder="1" applyAlignment="1" applyProtection="1">
      <alignment horizontal="center" vertical="center"/>
      <protection hidden="1"/>
    </xf>
    <xf numFmtId="0" fontId="173" fillId="32" borderId="0" xfId="48" applyFont="1" applyFill="1" applyBorder="1" applyAlignment="1" applyProtection="1">
      <alignment horizontal="left" vertical="center" wrapText="1"/>
      <protection hidden="1"/>
    </xf>
    <xf numFmtId="177" fontId="0" fillId="32" borderId="0" xfId="48" applyNumberFormat="1" applyFont="1" applyFill="1" applyBorder="1" applyAlignment="1" applyProtection="1">
      <alignment horizontal="center" vertical="center"/>
      <protection hidden="1"/>
    </xf>
    <xf numFmtId="0" fontId="23" fillId="32" borderId="57" xfId="48" applyFont="1" applyFill="1" applyBorder="1" applyAlignment="1" applyProtection="1">
      <alignment horizontal="left" vertical="center" wrapText="1"/>
      <protection hidden="1"/>
    </xf>
    <xf numFmtId="177" fontId="0" fillId="32" borderId="57" xfId="48" applyNumberFormat="1" applyFont="1" applyFill="1" applyBorder="1" applyAlignment="1" applyProtection="1">
      <alignment horizontal="center" vertical="center"/>
      <protection hidden="1"/>
    </xf>
    <xf numFmtId="0" fontId="146" fillId="43" borderId="0" xfId="48" applyFont="1" applyFill="1" applyBorder="1" applyAlignment="1" applyProtection="1">
      <alignment horizontal="left" vertical="center" wrapText="1"/>
      <protection hidden="1"/>
    </xf>
    <xf numFmtId="177" fontId="148" fillId="43" borderId="0" xfId="48" applyNumberFormat="1" applyFont="1" applyFill="1" applyBorder="1" applyAlignment="1" applyProtection="1">
      <alignment horizontal="center" vertical="center"/>
      <protection hidden="1"/>
    </xf>
    <xf numFmtId="0" fontId="173" fillId="43" borderId="0" xfId="48" applyFont="1" applyFill="1" applyBorder="1" applyAlignment="1" applyProtection="1">
      <alignment horizontal="left" vertical="center" wrapText="1"/>
      <protection hidden="1"/>
    </xf>
    <xf numFmtId="0" fontId="23" fillId="43" borderId="66" xfId="48" applyFont="1" applyFill="1" applyBorder="1" applyAlignment="1" applyProtection="1">
      <alignment horizontal="left" vertical="center" wrapText="1"/>
      <protection hidden="1"/>
    </xf>
    <xf numFmtId="177" fontId="0" fillId="43" borderId="66" xfId="48" applyNumberFormat="1" applyFont="1" applyFill="1" applyBorder="1" applyAlignment="1" applyProtection="1">
      <alignment horizontal="center" vertical="center"/>
      <protection hidden="1"/>
    </xf>
    <xf numFmtId="0" fontId="28" fillId="41" borderId="59" xfId="0" applyFont="1" applyFill="1" applyBorder="1" applyAlignment="1" applyProtection="1">
      <alignment horizontal="left" vertical="top" wrapText="1"/>
      <protection locked="0"/>
    </xf>
    <xf numFmtId="0" fontId="28" fillId="41" borderId="60" xfId="0" applyFont="1" applyFill="1" applyBorder="1" applyAlignment="1" applyProtection="1">
      <alignment horizontal="left" vertical="top" wrapText="1"/>
      <protection locked="0"/>
    </xf>
    <xf numFmtId="0" fontId="28" fillId="41" borderId="61" xfId="0" applyFont="1" applyFill="1" applyBorder="1" applyAlignment="1" applyProtection="1">
      <alignment horizontal="left" vertical="top" wrapText="1"/>
      <protection locked="0"/>
    </xf>
    <xf numFmtId="0" fontId="28" fillId="41" borderId="65" xfId="0" applyFont="1" applyFill="1" applyBorder="1" applyAlignment="1" applyProtection="1">
      <alignment horizontal="left" vertical="top" wrapText="1"/>
      <protection locked="0"/>
    </xf>
    <xf numFmtId="0" fontId="28" fillId="41" borderId="66" xfId="0" applyFont="1" applyFill="1" applyBorder="1" applyAlignment="1" applyProtection="1">
      <alignment horizontal="left" vertical="top" wrapText="1"/>
      <protection locked="0"/>
    </xf>
    <xf numFmtId="0" fontId="28" fillId="41" borderId="67" xfId="0" applyFont="1" applyFill="1" applyBorder="1" applyAlignment="1" applyProtection="1">
      <alignment horizontal="left" vertical="top" wrapText="1"/>
      <protection locked="0"/>
    </xf>
    <xf numFmtId="0" fontId="28" fillId="41" borderId="92" xfId="0" applyFont="1" applyFill="1" applyBorder="1" applyAlignment="1" applyProtection="1">
      <alignment horizontal="left" vertical="top" wrapText="1"/>
      <protection locked="0"/>
    </xf>
    <xf numFmtId="0" fontId="28" fillId="41" borderId="115" xfId="0" applyFont="1" applyFill="1" applyBorder="1" applyAlignment="1" applyProtection="1">
      <alignment horizontal="left" vertical="top" wrapText="1"/>
      <protection locked="0"/>
    </xf>
    <xf numFmtId="0" fontId="28" fillId="0" borderId="52" xfId="0" applyFont="1" applyFill="1" applyBorder="1" applyAlignment="1" applyProtection="1">
      <alignment horizontal="left" vertical="top" shrinkToFit="1"/>
      <protection hidden="1"/>
    </xf>
    <xf numFmtId="0" fontId="28" fillId="0" borderId="53" xfId="0" applyFont="1" applyFill="1" applyBorder="1" applyAlignment="1" applyProtection="1">
      <alignment horizontal="left" vertical="top" shrinkToFit="1"/>
      <protection hidden="1"/>
    </xf>
    <xf numFmtId="0" fontId="28" fillId="0" borderId="53" xfId="0" applyFont="1" applyBorder="1" applyAlignment="1" applyProtection="1">
      <alignment vertical="center" wrapText="1"/>
      <protection hidden="1"/>
    </xf>
    <xf numFmtId="0" fontId="28" fillId="0" borderId="260" xfId="0" applyFont="1" applyBorder="1" applyAlignment="1" applyProtection="1">
      <alignment vertical="center" wrapText="1"/>
      <protection hidden="1"/>
    </xf>
    <xf numFmtId="0" fontId="28" fillId="0" borderId="0" xfId="0" applyFont="1" applyProtection="1">
      <alignment vertical="center"/>
      <protection hidden="1"/>
    </xf>
    <xf numFmtId="0" fontId="28" fillId="0" borderId="53" xfId="0" applyFont="1" applyFill="1" applyBorder="1" applyAlignment="1" applyProtection="1">
      <alignment vertical="top" shrinkToFit="1"/>
      <protection hidden="1"/>
    </xf>
    <xf numFmtId="0" fontId="0" fillId="0" borderId="53" xfId="0" applyFont="1" applyBorder="1" applyAlignment="1" applyProtection="1">
      <alignment vertical="center" shrinkToFit="1"/>
      <protection hidden="1"/>
    </xf>
    <xf numFmtId="0" fontId="0" fillId="0" borderId="260" xfId="0" applyFont="1" applyBorder="1" applyAlignment="1" applyProtection="1">
      <alignment vertical="center" shrinkToFit="1"/>
      <protection hidden="1"/>
    </xf>
    <xf numFmtId="0" fontId="28" fillId="0" borderId="0" xfId="0" applyFont="1" applyFill="1" applyBorder="1" applyAlignment="1" applyProtection="1">
      <alignment horizontal="left" vertical="top" wrapText="1"/>
      <protection hidden="1"/>
    </xf>
    <xf numFmtId="0" fontId="0" fillId="0" borderId="0" xfId="0" applyFont="1" applyProtection="1">
      <alignment vertical="center"/>
      <protection hidden="1"/>
    </xf>
    <xf numFmtId="0" fontId="28" fillId="0" borderId="64" xfId="0" applyFont="1" applyFill="1" applyBorder="1" applyAlignment="1" applyProtection="1">
      <alignment horizontal="left" vertical="top" shrinkToFit="1"/>
      <protection hidden="1"/>
    </xf>
    <xf numFmtId="0" fontId="28" fillId="0" borderId="0" xfId="0" applyFont="1" applyFill="1" applyBorder="1" applyAlignment="1" applyProtection="1">
      <alignment horizontal="left" vertical="top"/>
      <protection hidden="1"/>
    </xf>
    <xf numFmtId="0" fontId="28" fillId="0" borderId="57" xfId="0" applyFont="1" applyFill="1" applyBorder="1" applyAlignment="1" applyProtection="1">
      <alignment horizontal="left" vertical="top" shrinkToFit="1"/>
      <protection hidden="1"/>
    </xf>
    <xf numFmtId="0" fontId="28" fillId="0" borderId="57" xfId="0" applyFont="1" applyBorder="1" applyAlignment="1" applyProtection="1">
      <alignment vertical="center" wrapText="1"/>
      <protection hidden="1"/>
    </xf>
    <xf numFmtId="0" fontId="28" fillId="0" borderId="53" xfId="0" applyFont="1" applyBorder="1" applyAlignment="1" applyProtection="1">
      <alignment vertical="center"/>
      <protection hidden="1"/>
    </xf>
    <xf numFmtId="0" fontId="0" fillId="0" borderId="53" xfId="0" applyFont="1" applyBorder="1" applyAlignment="1" applyProtection="1">
      <alignment vertical="center"/>
      <protection hidden="1"/>
    </xf>
    <xf numFmtId="0" fontId="0" fillId="0" borderId="260" xfId="0" applyFont="1" applyBorder="1" applyAlignment="1" applyProtection="1">
      <alignment vertical="center"/>
      <protection hidden="1"/>
    </xf>
    <xf numFmtId="192" fontId="148" fillId="25" borderId="91" xfId="35" applyNumberFormat="1" applyFont="1" applyFill="1" applyBorder="1" applyAlignment="1" applyProtection="1">
      <alignment horizontal="center" vertical="center" wrapText="1"/>
      <protection hidden="1"/>
    </xf>
    <xf numFmtId="192" fontId="148" fillId="25" borderId="61" xfId="35" applyNumberFormat="1" applyFont="1" applyFill="1" applyBorder="1" applyAlignment="1" applyProtection="1">
      <alignment horizontal="center" vertical="center" wrapText="1"/>
      <protection hidden="1"/>
    </xf>
    <xf numFmtId="192" fontId="148" fillId="25" borderId="64" xfId="35" applyNumberFormat="1" applyFont="1" applyFill="1" applyBorder="1" applyAlignment="1" applyProtection="1">
      <alignment horizontal="center" vertical="center" wrapText="1"/>
      <protection hidden="1"/>
    </xf>
    <xf numFmtId="192" fontId="148" fillId="25" borderId="63" xfId="35" applyNumberFormat="1" applyFont="1" applyFill="1" applyBorder="1" applyAlignment="1" applyProtection="1">
      <alignment horizontal="center" vertical="center" wrapText="1"/>
      <protection hidden="1"/>
    </xf>
    <xf numFmtId="192" fontId="148" fillId="25" borderId="83" xfId="35" applyNumberFormat="1" applyFont="1" applyFill="1" applyBorder="1" applyAlignment="1" applyProtection="1">
      <alignment horizontal="center" vertical="center" wrapText="1"/>
      <protection hidden="1"/>
    </xf>
    <xf numFmtId="192" fontId="148" fillId="25" borderId="67" xfId="35" applyNumberFormat="1" applyFont="1" applyFill="1" applyBorder="1" applyAlignment="1" applyProtection="1">
      <alignment horizontal="center" vertical="center" wrapText="1"/>
      <protection hidden="1"/>
    </xf>
    <xf numFmtId="0" fontId="23" fillId="25" borderId="15" xfId="0" applyFont="1" applyFill="1" applyBorder="1" applyAlignment="1" applyProtection="1">
      <alignment horizontal="center" vertical="center" wrapText="1"/>
      <protection hidden="1"/>
    </xf>
    <xf numFmtId="0" fontId="23" fillId="25" borderId="149" xfId="0" applyFont="1" applyFill="1" applyBorder="1" applyAlignment="1" applyProtection="1">
      <alignment horizontal="center" vertical="center" wrapText="1"/>
      <protection hidden="1"/>
    </xf>
    <xf numFmtId="177" fontId="148" fillId="47" borderId="91" xfId="0" applyNumberFormat="1" applyFont="1" applyFill="1" applyBorder="1" applyAlignment="1" applyProtection="1">
      <alignment horizontal="center" vertical="center" wrapText="1"/>
      <protection hidden="1"/>
    </xf>
    <xf numFmtId="177" fontId="148" fillId="47" borderId="61" xfId="0" applyNumberFormat="1" applyFont="1" applyFill="1" applyBorder="1" applyAlignment="1" applyProtection="1">
      <alignment horizontal="center" vertical="center" wrapText="1"/>
      <protection hidden="1"/>
    </xf>
    <xf numFmtId="177" fontId="148" fillId="47" borderId="83" xfId="0" applyNumberFormat="1" applyFont="1" applyFill="1" applyBorder="1" applyAlignment="1" applyProtection="1">
      <alignment horizontal="center" vertical="center" wrapText="1"/>
      <protection hidden="1"/>
    </xf>
    <xf numFmtId="177" fontId="148" fillId="47" borderId="67" xfId="0" applyNumberFormat="1" applyFont="1" applyFill="1" applyBorder="1" applyAlignment="1" applyProtection="1">
      <alignment horizontal="center" vertical="center" wrapText="1"/>
      <protection hidden="1"/>
    </xf>
    <xf numFmtId="0" fontId="28" fillId="0" borderId="0" xfId="0" applyFont="1" applyAlignment="1" applyProtection="1">
      <alignment vertical="center"/>
      <protection hidden="1"/>
    </xf>
    <xf numFmtId="0" fontId="0" fillId="0" borderId="0" xfId="0" applyFont="1" applyAlignment="1" applyProtection="1">
      <alignment vertical="center"/>
      <protection hidden="1"/>
    </xf>
    <xf numFmtId="0" fontId="0" fillId="0" borderId="262" xfId="0" applyFont="1" applyBorder="1" applyAlignment="1" applyProtection="1">
      <alignment vertical="center"/>
      <protection hidden="1"/>
    </xf>
    <xf numFmtId="0" fontId="28" fillId="0" borderId="66" xfId="0" applyFont="1" applyBorder="1" applyAlignment="1" applyProtection="1">
      <alignment vertical="center"/>
      <protection hidden="1"/>
    </xf>
    <xf numFmtId="0" fontId="0" fillId="0" borderId="66" xfId="0" applyFont="1" applyBorder="1" applyAlignment="1" applyProtection="1">
      <alignment vertical="center"/>
      <protection hidden="1"/>
    </xf>
    <xf numFmtId="0" fontId="0" fillId="0" borderId="263" xfId="0" applyFont="1" applyBorder="1" applyAlignment="1" applyProtection="1">
      <alignment vertical="center"/>
      <protection hidden="1"/>
    </xf>
    <xf numFmtId="223" fontId="148" fillId="25" borderId="91" xfId="35" applyNumberFormat="1" applyFont="1" applyFill="1" applyBorder="1" applyAlignment="1" applyProtection="1">
      <alignment horizontal="center" vertical="center" wrapText="1"/>
      <protection hidden="1"/>
    </xf>
    <xf numFmtId="0" fontId="0" fillId="0" borderId="61" xfId="0" applyBorder="1" applyAlignment="1" applyProtection="1">
      <alignment horizontal="center" vertical="center" wrapText="1"/>
      <protection hidden="1"/>
    </xf>
    <xf numFmtId="0" fontId="0" fillId="0" borderId="64" xfId="0" applyBorder="1" applyAlignment="1" applyProtection="1">
      <alignment horizontal="center" vertical="center" wrapText="1"/>
      <protection hidden="1"/>
    </xf>
    <xf numFmtId="0" fontId="0" fillId="0" borderId="63" xfId="0" applyBorder="1" applyAlignment="1" applyProtection="1">
      <alignment horizontal="center" vertical="center" wrapText="1"/>
      <protection hidden="1"/>
    </xf>
    <xf numFmtId="0" fontId="28" fillId="0" borderId="0" xfId="0" applyFont="1" applyBorder="1" applyProtection="1">
      <alignment vertical="center"/>
      <protection hidden="1"/>
    </xf>
    <xf numFmtId="0" fontId="28" fillId="0" borderId="0" xfId="0" applyFont="1" applyBorder="1" applyAlignment="1" applyProtection="1">
      <alignment vertical="center"/>
      <protection hidden="1"/>
    </xf>
    <xf numFmtId="0" fontId="0" fillId="0" borderId="0" xfId="0" applyFont="1" applyBorder="1" applyAlignment="1" applyProtection="1">
      <alignment vertical="center"/>
      <protection hidden="1"/>
    </xf>
    <xf numFmtId="0" fontId="28" fillId="0" borderId="64" xfId="0" applyFont="1" applyFill="1" applyBorder="1" applyAlignment="1" applyProtection="1">
      <alignment vertical="center" shrinkToFit="1"/>
      <protection hidden="1"/>
    </xf>
    <xf numFmtId="0" fontId="28" fillId="0" borderId="0" xfId="0" applyFont="1" applyFill="1" applyBorder="1" applyAlignment="1" applyProtection="1">
      <alignment vertical="center" shrinkToFit="1"/>
      <protection hidden="1"/>
    </xf>
    <xf numFmtId="0" fontId="28" fillId="0" borderId="83" xfId="0" applyFont="1" applyFill="1" applyBorder="1" applyAlignment="1" applyProtection="1">
      <alignment vertical="center" shrinkToFit="1"/>
      <protection hidden="1"/>
    </xf>
    <xf numFmtId="0" fontId="28" fillId="0" borderId="66" xfId="0" applyFont="1" applyFill="1" applyBorder="1" applyAlignment="1" applyProtection="1">
      <alignment vertical="center" shrinkToFit="1"/>
      <protection hidden="1"/>
    </xf>
    <xf numFmtId="182" fontId="28" fillId="0" borderId="62" xfId="0" applyNumberFormat="1" applyFont="1" applyFill="1" applyBorder="1" applyAlignment="1" applyProtection="1">
      <alignment horizontal="left" vertical="top" shrinkToFit="1"/>
      <protection locked="0"/>
    </xf>
    <xf numFmtId="0" fontId="0" fillId="0" borderId="0" xfId="0" applyAlignment="1" applyProtection="1">
      <alignment horizontal="left" vertical="top" shrinkToFit="1"/>
      <protection locked="0"/>
    </xf>
    <xf numFmtId="0" fontId="0" fillId="0" borderId="63" xfId="0" applyBorder="1" applyAlignment="1" applyProtection="1">
      <alignment horizontal="left" vertical="top" shrinkToFit="1"/>
      <protection locked="0"/>
    </xf>
    <xf numFmtId="0" fontId="33" fillId="27" borderId="50" xfId="0" applyFont="1" applyFill="1" applyBorder="1" applyAlignment="1" applyProtection="1">
      <alignment vertical="center" shrinkToFit="1"/>
      <protection hidden="1"/>
    </xf>
    <xf numFmtId="0" fontId="63" fillId="37" borderId="69" xfId="0" applyFont="1" applyFill="1" applyBorder="1" applyAlignment="1" applyProtection="1">
      <alignment horizontal="center" vertical="center"/>
      <protection hidden="1"/>
    </xf>
    <xf numFmtId="0" fontId="63" fillId="37" borderId="71" xfId="0" applyFont="1" applyFill="1" applyBorder="1" applyAlignment="1" applyProtection="1">
      <alignment horizontal="center" vertical="center"/>
      <protection hidden="1"/>
    </xf>
    <xf numFmtId="0" fontId="28" fillId="27" borderId="52" xfId="0" applyFont="1" applyFill="1" applyBorder="1" applyAlignment="1" applyProtection="1">
      <alignment horizontal="center" vertical="center" wrapText="1"/>
      <protection hidden="1"/>
    </xf>
    <xf numFmtId="0" fontId="0" fillId="27" borderId="54" xfId="0" applyFill="1" applyBorder="1" applyAlignment="1">
      <alignment vertical="center" wrapText="1"/>
    </xf>
    <xf numFmtId="0" fontId="0" fillId="27" borderId="56" xfId="0" applyFill="1" applyBorder="1" applyAlignment="1">
      <alignment vertical="center" wrapText="1"/>
    </xf>
    <xf numFmtId="0" fontId="0" fillId="27" borderId="58" xfId="0" applyFill="1" applyBorder="1" applyAlignment="1">
      <alignment vertical="center" wrapText="1"/>
    </xf>
    <xf numFmtId="182" fontId="39" fillId="0" borderId="62" xfId="0" applyNumberFormat="1" applyFont="1" applyFill="1" applyBorder="1" applyAlignment="1" applyProtection="1">
      <alignment horizontal="left" vertical="top" shrinkToFit="1"/>
      <protection locked="0"/>
    </xf>
    <xf numFmtId="0" fontId="11" fillId="0" borderId="0" xfId="0" applyFont="1" applyAlignment="1" applyProtection="1">
      <alignment horizontal="left" vertical="top" shrinkToFit="1"/>
      <protection locked="0"/>
    </xf>
    <xf numFmtId="0" fontId="11" fillId="0" borderId="63" xfId="0" applyFont="1" applyBorder="1" applyAlignment="1" applyProtection="1">
      <alignment horizontal="left" vertical="top" shrinkToFit="1"/>
      <protection locked="0"/>
    </xf>
    <xf numFmtId="182" fontId="28" fillId="0" borderId="89" xfId="0" applyNumberFormat="1" applyFont="1" applyFill="1" applyBorder="1" applyAlignment="1" applyProtection="1">
      <alignment horizontal="left" vertical="top" shrinkToFit="1"/>
      <protection locked="0"/>
    </xf>
    <xf numFmtId="182" fontId="28" fillId="0" borderId="53" xfId="0" applyNumberFormat="1" applyFont="1" applyFill="1" applyBorder="1" applyAlignment="1" applyProtection="1">
      <alignment horizontal="left" vertical="top" shrinkToFit="1"/>
      <protection locked="0"/>
    </xf>
    <xf numFmtId="182" fontId="28" fillId="0" borderId="90" xfId="0" applyNumberFormat="1" applyFont="1" applyFill="1" applyBorder="1" applyAlignment="1" applyProtection="1">
      <alignment horizontal="left" vertical="top" shrinkToFit="1"/>
      <protection locked="0"/>
    </xf>
    <xf numFmtId="0" fontId="23" fillId="27" borderId="61" xfId="0" applyFont="1" applyFill="1" applyBorder="1" applyAlignment="1" applyProtection="1">
      <alignment horizontal="center" vertical="center" wrapText="1"/>
      <protection hidden="1"/>
    </xf>
    <xf numFmtId="0" fontId="6" fillId="0" borderId="79" xfId="0" applyFont="1" applyBorder="1" applyAlignment="1" applyProtection="1">
      <alignment horizontal="center" vertical="center"/>
      <protection hidden="1"/>
    </xf>
    <xf numFmtId="0" fontId="26" fillId="27" borderId="92" xfId="0" applyFont="1" applyFill="1" applyBorder="1" applyAlignment="1" applyProtection="1">
      <alignment horizontal="center" vertical="center" wrapText="1"/>
      <protection hidden="1"/>
    </xf>
    <xf numFmtId="0" fontId="26" fillId="0" borderId="96" xfId="0" applyFont="1" applyBorder="1" applyAlignment="1" applyProtection="1">
      <alignment horizontal="center" vertical="center" wrapText="1"/>
      <protection hidden="1"/>
    </xf>
    <xf numFmtId="182" fontId="26" fillId="27" borderId="68" xfId="0" applyNumberFormat="1" applyFont="1" applyFill="1" applyBorder="1" applyAlignment="1" applyProtection="1">
      <alignment horizontal="center" vertical="center" wrapText="1"/>
      <protection hidden="1"/>
    </xf>
    <xf numFmtId="182" fontId="26" fillId="27" borderId="71" xfId="0" applyNumberFormat="1" applyFont="1" applyFill="1" applyBorder="1" applyAlignment="1" applyProtection="1">
      <alignment horizontal="center" vertical="center" wrapText="1"/>
      <protection hidden="1"/>
    </xf>
    <xf numFmtId="0" fontId="33" fillId="27" borderId="26" xfId="0" applyFont="1" applyFill="1" applyBorder="1" applyAlignment="1" applyProtection="1">
      <alignment vertical="center" shrinkToFit="1"/>
      <protection hidden="1"/>
    </xf>
    <xf numFmtId="0" fontId="0" fillId="0" borderId="82" xfId="0" applyBorder="1" applyAlignment="1">
      <alignment vertical="center" shrinkToFit="1"/>
    </xf>
    <xf numFmtId="182" fontId="28" fillId="0" borderId="77" xfId="0" applyNumberFormat="1" applyFont="1" applyFill="1" applyBorder="1" applyAlignment="1" applyProtection="1">
      <alignment horizontal="left" vertical="top" shrinkToFit="1"/>
      <protection locked="0"/>
    </xf>
    <xf numFmtId="0" fontId="0" fillId="0" borderId="57" xfId="0" applyBorder="1" applyAlignment="1" applyProtection="1">
      <alignment horizontal="left" vertical="top" shrinkToFit="1"/>
      <protection locked="0"/>
    </xf>
    <xf numFmtId="0" fontId="0" fillId="0" borderId="79" xfId="0" applyBorder="1" applyAlignment="1" applyProtection="1">
      <alignment horizontal="left" vertical="top" shrinkToFit="1"/>
      <protection locked="0"/>
    </xf>
    <xf numFmtId="0" fontId="0" fillId="0" borderId="0" xfId="0" applyBorder="1" applyAlignment="1" applyProtection="1">
      <alignment horizontal="left" vertical="top" shrinkToFit="1"/>
      <protection locked="0"/>
    </xf>
    <xf numFmtId="182" fontId="28" fillId="0" borderId="50" xfId="0" applyNumberFormat="1" applyFont="1" applyFill="1" applyBorder="1" applyAlignment="1" applyProtection="1">
      <alignment horizontal="left" vertical="center" wrapText="1"/>
      <protection locked="0"/>
    </xf>
    <xf numFmtId="182" fontId="28" fillId="0" borderId="82" xfId="0" applyNumberFormat="1" applyFont="1" applyFill="1" applyBorder="1" applyAlignment="1" applyProtection="1">
      <alignment horizontal="left" vertical="center" wrapText="1"/>
      <protection locked="0"/>
    </xf>
    <xf numFmtId="0" fontId="33" fillId="27" borderId="155" xfId="0" applyNumberFormat="1" applyFont="1" applyFill="1" applyBorder="1" applyAlignment="1" applyProtection="1">
      <alignment horizontal="left" vertical="center" shrinkToFit="1"/>
      <protection hidden="1"/>
    </xf>
    <xf numFmtId="0" fontId="0" fillId="0" borderId="127" xfId="0" applyBorder="1" applyAlignment="1">
      <alignment vertical="center" shrinkToFit="1"/>
    </xf>
    <xf numFmtId="182" fontId="28" fillId="0" borderId="65" xfId="0" applyNumberFormat="1" applyFont="1" applyFill="1" applyBorder="1" applyAlignment="1" applyProtection="1">
      <alignment horizontal="left" vertical="top" shrinkToFit="1"/>
      <protection locked="0"/>
    </xf>
    <xf numFmtId="0" fontId="0" fillId="0" borderId="66" xfId="0" applyBorder="1" applyAlignment="1" applyProtection="1">
      <alignment horizontal="left" vertical="top" shrinkToFit="1"/>
      <protection locked="0"/>
    </xf>
    <xf numFmtId="0" fontId="0" fillId="0" borderId="67" xfId="0" applyBorder="1" applyAlignment="1" applyProtection="1">
      <alignment horizontal="left" vertical="top" shrinkToFit="1"/>
      <protection locked="0"/>
    </xf>
    <xf numFmtId="0" fontId="33" fillId="27" borderId="26" xfId="0" applyNumberFormat="1" applyFont="1" applyFill="1" applyBorder="1" applyAlignment="1" applyProtection="1">
      <alignment horizontal="left" vertical="center" shrinkToFit="1"/>
      <protection hidden="1"/>
    </xf>
    <xf numFmtId="0" fontId="96" fillId="0" borderId="65" xfId="0" applyNumberFormat="1" applyFont="1" applyFill="1" applyBorder="1" applyAlignment="1" applyProtection="1">
      <alignment vertical="center" shrinkToFit="1"/>
      <protection hidden="1"/>
    </xf>
    <xf numFmtId="0" fontId="0" fillId="0" borderId="66" xfId="0" applyBorder="1" applyAlignment="1">
      <alignment vertical="center" shrinkToFit="1"/>
    </xf>
    <xf numFmtId="0" fontId="0" fillId="0" borderId="67" xfId="0" applyBorder="1" applyAlignment="1">
      <alignment vertical="center" shrinkToFit="1"/>
    </xf>
    <xf numFmtId="182" fontId="28" fillId="0" borderId="146" xfId="0" applyNumberFormat="1" applyFont="1" applyFill="1" applyBorder="1" applyAlignment="1" applyProtection="1">
      <alignment horizontal="left" vertical="top" shrinkToFit="1"/>
      <protection locked="0"/>
    </xf>
    <xf numFmtId="0" fontId="0" fillId="0" borderId="109" xfId="0" applyBorder="1" applyAlignment="1" applyProtection="1">
      <alignment horizontal="left" vertical="top" shrinkToFit="1"/>
      <protection locked="0"/>
    </xf>
    <xf numFmtId="0" fontId="0" fillId="0" borderId="210" xfId="0" applyBorder="1" applyAlignment="1" applyProtection="1">
      <alignment horizontal="left" vertical="top" shrinkToFit="1"/>
      <protection locked="0"/>
    </xf>
    <xf numFmtId="182" fontId="28" fillId="0" borderId="0" xfId="0" applyNumberFormat="1" applyFont="1" applyFill="1" applyBorder="1" applyAlignment="1" applyProtection="1">
      <alignment horizontal="left" vertical="top" shrinkToFit="1"/>
      <protection locked="0"/>
    </xf>
    <xf numFmtId="182" fontId="28" fillId="0" borderId="63" xfId="0" applyNumberFormat="1" applyFont="1" applyFill="1" applyBorder="1" applyAlignment="1" applyProtection="1">
      <alignment horizontal="left" vertical="top" shrinkToFit="1"/>
      <protection locked="0"/>
    </xf>
    <xf numFmtId="0" fontId="0" fillId="41" borderId="208" xfId="0" applyFill="1" applyBorder="1" applyAlignment="1" applyProtection="1">
      <alignment horizontal="left" vertical="top" wrapText="1"/>
      <protection locked="0"/>
    </xf>
    <xf numFmtId="0" fontId="0" fillId="41" borderId="209" xfId="0" applyFill="1" applyBorder="1" applyAlignment="1" applyProtection="1">
      <alignment horizontal="left" vertical="top" wrapText="1"/>
      <protection locked="0"/>
    </xf>
    <xf numFmtId="0" fontId="0" fillId="41" borderId="207" xfId="0" applyFill="1" applyBorder="1" applyAlignment="1" applyProtection="1">
      <alignment horizontal="left" vertical="top" wrapText="1"/>
      <protection locked="0"/>
    </xf>
    <xf numFmtId="0" fontId="0" fillId="41" borderId="26" xfId="0"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41" borderId="204" xfId="0" applyFill="1" applyBorder="1" applyAlignment="1" applyProtection="1">
      <alignment horizontal="left" vertical="top" wrapText="1"/>
      <protection locked="0"/>
    </xf>
    <xf numFmtId="0" fontId="0" fillId="0" borderId="205" xfId="0" applyBorder="1" applyAlignment="1" applyProtection="1">
      <alignment horizontal="left" vertical="top" wrapText="1"/>
      <protection locked="0"/>
    </xf>
    <xf numFmtId="0" fontId="0" fillId="0" borderId="206" xfId="0" applyBorder="1" applyAlignment="1" applyProtection="1">
      <alignment horizontal="left" vertical="top" wrapText="1"/>
      <protection locked="0"/>
    </xf>
    <xf numFmtId="0" fontId="0" fillId="41" borderId="189" xfId="0" applyFill="1" applyBorder="1" applyAlignment="1" applyProtection="1">
      <alignment horizontal="left" vertical="top" wrapText="1"/>
      <protection locked="0"/>
    </xf>
    <xf numFmtId="0" fontId="0" fillId="41" borderId="190" xfId="0" applyFill="1" applyBorder="1" applyAlignment="1" applyProtection="1">
      <alignment horizontal="left" vertical="top" wrapText="1"/>
      <protection locked="0"/>
    </xf>
    <xf numFmtId="0" fontId="0" fillId="41" borderId="203" xfId="0" applyFill="1" applyBorder="1" applyAlignment="1" applyProtection="1">
      <alignment horizontal="left" vertical="top" wrapText="1"/>
      <protection locked="0"/>
    </xf>
    <xf numFmtId="0" fontId="6" fillId="27" borderId="0" xfId="0" applyFont="1" applyFill="1" applyBorder="1" applyAlignment="1">
      <alignment horizontal="left" vertical="top" wrapText="1"/>
    </xf>
    <xf numFmtId="0" fontId="33" fillId="0" borderId="57" xfId="0" applyFont="1" applyFill="1" applyBorder="1" applyAlignment="1" applyProtection="1">
      <alignment vertical="center" shrinkToFit="1"/>
    </xf>
    <xf numFmtId="0" fontId="28" fillId="27" borderId="51" xfId="0" applyFont="1" applyFill="1" applyBorder="1" applyAlignment="1" applyProtection="1">
      <alignment horizontal="left" vertical="top" wrapText="1"/>
    </xf>
    <xf numFmtId="0" fontId="28" fillId="27" borderId="55" xfId="0" applyFont="1" applyFill="1" applyBorder="1" applyAlignment="1" applyProtection="1">
      <alignment horizontal="left" vertical="top" wrapText="1"/>
    </xf>
    <xf numFmtId="0" fontId="28" fillId="27" borderId="15" xfId="0" applyFont="1" applyFill="1" applyBorder="1" applyAlignment="1" applyProtection="1">
      <alignment horizontal="left" vertical="center"/>
    </xf>
    <xf numFmtId="0" fontId="28" fillId="27" borderId="55" xfId="0" applyFont="1" applyFill="1" applyBorder="1" applyAlignment="1" applyProtection="1">
      <alignment horizontal="left" vertical="center"/>
    </xf>
    <xf numFmtId="181" fontId="28" fillId="31" borderId="26" xfId="0" applyNumberFormat="1" applyFont="1" applyFill="1" applyBorder="1" applyAlignment="1" applyProtection="1">
      <alignment horizontal="center" vertical="center"/>
      <protection hidden="1"/>
    </xf>
    <xf numFmtId="181" fontId="28" fillId="31" borderId="27" xfId="0" applyNumberFormat="1" applyFont="1" applyFill="1" applyBorder="1" applyAlignment="1" applyProtection="1">
      <alignment horizontal="center" vertical="center"/>
      <protection hidden="1"/>
    </xf>
    <xf numFmtId="181" fontId="28" fillId="27" borderId="164" xfId="0" applyNumberFormat="1" applyFont="1" applyFill="1" applyBorder="1" applyAlignment="1" applyProtection="1">
      <alignment horizontal="left" vertical="center" wrapText="1"/>
      <protection hidden="1"/>
    </xf>
    <xf numFmtId="0" fontId="6" fillId="38" borderId="165" xfId="0" applyFont="1" applyFill="1" applyBorder="1" applyAlignment="1">
      <alignment horizontal="left" vertical="center" wrapText="1"/>
    </xf>
    <xf numFmtId="181" fontId="28" fillId="27" borderId="169" xfId="0" applyNumberFormat="1" applyFont="1" applyFill="1" applyBorder="1" applyAlignment="1" applyProtection="1">
      <alignment horizontal="left" vertical="center" wrapText="1"/>
      <protection hidden="1"/>
    </xf>
    <xf numFmtId="0" fontId="6" fillId="38" borderId="170" xfId="0" applyFont="1" applyFill="1" applyBorder="1" applyAlignment="1">
      <alignment horizontal="left" vertical="center" wrapText="1"/>
    </xf>
    <xf numFmtId="181" fontId="28" fillId="27" borderId="12" xfId="0" applyNumberFormat="1" applyFont="1" applyFill="1" applyBorder="1" applyAlignment="1" applyProtection="1">
      <alignment horizontal="left" vertical="center" wrapText="1"/>
      <protection hidden="1"/>
    </xf>
    <xf numFmtId="0" fontId="6" fillId="38" borderId="14" xfId="0" applyFont="1" applyFill="1" applyBorder="1" applyAlignment="1">
      <alignment horizontal="left" vertical="center" wrapText="1"/>
    </xf>
    <xf numFmtId="181" fontId="28" fillId="27" borderId="166" xfId="0" applyNumberFormat="1" applyFont="1" applyFill="1" applyBorder="1" applyAlignment="1" applyProtection="1">
      <alignment horizontal="left" vertical="center" wrapText="1"/>
      <protection hidden="1"/>
    </xf>
    <xf numFmtId="181" fontId="28" fillId="31" borderId="26" xfId="0" applyNumberFormat="1" applyFont="1" applyFill="1" applyBorder="1" applyAlignment="1" applyProtection="1">
      <alignment horizontal="center" vertical="center" shrinkToFit="1"/>
      <protection hidden="1"/>
    </xf>
    <xf numFmtId="0" fontId="6" fillId="0" borderId="82" xfId="0" applyFont="1" applyBorder="1" applyAlignment="1">
      <alignment horizontal="center" vertical="center" shrinkToFit="1"/>
    </xf>
    <xf numFmtId="0" fontId="6" fillId="38" borderId="171" xfId="0" applyFont="1" applyFill="1" applyBorder="1" applyAlignment="1">
      <alignment horizontal="left" vertical="center" wrapText="1"/>
    </xf>
    <xf numFmtId="0" fontId="6" fillId="38" borderId="13" xfId="0" applyFont="1" applyFill="1" applyBorder="1" applyAlignment="1">
      <alignment horizontal="left" vertical="center" wrapText="1"/>
    </xf>
    <xf numFmtId="0" fontId="37" fillId="27" borderId="26" xfId="0" applyFont="1" applyFill="1" applyBorder="1" applyAlignment="1" applyProtection="1">
      <alignment horizontal="left" vertical="center" wrapText="1"/>
      <protection hidden="1"/>
    </xf>
    <xf numFmtId="0" fontId="6" fillId="38" borderId="27" xfId="0" applyFont="1" applyFill="1" applyBorder="1" applyAlignment="1">
      <alignment horizontal="left" vertical="center" wrapText="1"/>
    </xf>
    <xf numFmtId="0" fontId="37" fillId="27" borderId="50" xfId="0" applyFont="1" applyFill="1" applyBorder="1" applyAlignment="1" applyProtection="1">
      <alignment horizontal="left" vertical="center" wrapText="1"/>
      <protection hidden="1"/>
    </xf>
    <xf numFmtId="0" fontId="6" fillId="27" borderId="27" xfId="0" applyFont="1" applyFill="1" applyBorder="1" applyAlignment="1">
      <alignment horizontal="left" vertical="center" wrapText="1"/>
    </xf>
    <xf numFmtId="0" fontId="37" fillId="27" borderId="80" xfId="0" applyFont="1" applyFill="1" applyBorder="1" applyAlignment="1" applyProtection="1">
      <alignment horizontal="left" vertical="center" wrapText="1"/>
      <protection hidden="1"/>
    </xf>
    <xf numFmtId="0" fontId="37" fillId="27" borderId="27" xfId="0" applyFont="1" applyFill="1" applyBorder="1" applyAlignment="1" applyProtection="1">
      <alignment horizontal="left" vertical="center" wrapText="1"/>
      <protection hidden="1"/>
    </xf>
    <xf numFmtId="0" fontId="28" fillId="27" borderId="164" xfId="0" applyFont="1" applyFill="1" applyBorder="1" applyAlignment="1">
      <alignment horizontal="left" vertical="center" wrapText="1"/>
    </xf>
    <xf numFmtId="0" fontId="6" fillId="38" borderId="166" xfId="0" applyFont="1" applyFill="1" applyBorder="1" applyAlignment="1">
      <alignment horizontal="left" vertical="center" wrapText="1"/>
    </xf>
    <xf numFmtId="201" fontId="26" fillId="31" borderId="15" xfId="0" applyNumberFormat="1" applyFont="1" applyFill="1" applyBorder="1" applyAlignment="1" applyProtection="1">
      <alignment horizontal="center" vertical="center"/>
      <protection hidden="1"/>
    </xf>
    <xf numFmtId="181" fontId="28" fillId="27" borderId="165" xfId="0" applyNumberFormat="1" applyFont="1" applyFill="1" applyBorder="1" applyAlignment="1" applyProtection="1">
      <alignment horizontal="left" vertical="center" wrapText="1"/>
      <protection hidden="1"/>
    </xf>
    <xf numFmtId="181" fontId="28" fillId="27" borderId="13" xfId="0" applyNumberFormat="1" applyFont="1" applyFill="1" applyBorder="1" applyAlignment="1" applyProtection="1">
      <alignment horizontal="left" vertical="center" wrapText="1"/>
      <protection hidden="1"/>
    </xf>
    <xf numFmtId="0" fontId="28" fillId="27" borderId="12" xfId="0" applyFont="1" applyFill="1" applyBorder="1" applyAlignment="1">
      <alignment horizontal="left" vertical="center" wrapText="1"/>
    </xf>
    <xf numFmtId="0" fontId="28" fillId="27" borderId="169" xfId="0" applyFont="1" applyFill="1" applyBorder="1" applyAlignment="1">
      <alignment horizontal="left" vertical="center" wrapText="1"/>
    </xf>
    <xf numFmtId="0" fontId="6" fillId="0" borderId="171" xfId="0" applyFont="1" applyBorder="1" applyAlignment="1">
      <alignment horizontal="left" vertical="center" wrapText="1"/>
    </xf>
    <xf numFmtId="0" fontId="6" fillId="0" borderId="170" xfId="0" applyFont="1" applyBorder="1" applyAlignment="1">
      <alignment horizontal="left" vertical="center" wrapText="1"/>
    </xf>
    <xf numFmtId="181" fontId="28" fillId="27" borderId="171" xfId="0" applyNumberFormat="1" applyFont="1" applyFill="1" applyBorder="1" applyAlignment="1" applyProtection="1">
      <alignment horizontal="left" vertical="center" wrapText="1"/>
      <protection hidden="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181" fontId="28" fillId="27" borderId="169" xfId="0" applyNumberFormat="1" applyFont="1" applyFill="1" applyBorder="1" applyAlignment="1" applyProtection="1">
      <alignment vertical="center" wrapText="1"/>
      <protection hidden="1"/>
    </xf>
    <xf numFmtId="0" fontId="6" fillId="0" borderId="171" xfId="0" applyFont="1" applyBorder="1" applyAlignment="1">
      <alignment vertical="center" wrapText="1"/>
    </xf>
    <xf numFmtId="0" fontId="6" fillId="0" borderId="170" xfId="0" applyFont="1" applyBorder="1" applyAlignment="1">
      <alignment vertical="center" wrapText="1"/>
    </xf>
    <xf numFmtId="181" fontId="28" fillId="27" borderId="170" xfId="0" applyNumberFormat="1" applyFont="1" applyFill="1" applyBorder="1" applyAlignment="1" applyProtection="1">
      <alignment horizontal="left" vertical="center" wrapText="1"/>
      <protection hidden="1"/>
    </xf>
    <xf numFmtId="0" fontId="37" fillId="27" borderId="215" xfId="0" applyFont="1" applyFill="1" applyBorder="1" applyAlignment="1" applyProtection="1">
      <alignment horizontal="left" vertical="center" wrapText="1"/>
      <protection hidden="1"/>
    </xf>
    <xf numFmtId="0" fontId="37" fillId="38" borderId="166" xfId="0" applyFont="1" applyFill="1" applyBorder="1" applyAlignment="1">
      <alignment horizontal="left" vertical="center" wrapText="1"/>
    </xf>
    <xf numFmtId="0" fontId="37" fillId="27" borderId="183" xfId="0" applyFont="1" applyFill="1" applyBorder="1" applyAlignment="1" applyProtection="1">
      <alignment horizontal="left" vertical="center" wrapText="1"/>
      <protection hidden="1"/>
    </xf>
    <xf numFmtId="0" fontId="37" fillId="38" borderId="14" xfId="0" applyFont="1" applyFill="1" applyBorder="1" applyAlignment="1">
      <alignment horizontal="left" vertical="center" wrapText="1"/>
    </xf>
    <xf numFmtId="0" fontId="28" fillId="0" borderId="53" xfId="0" applyFont="1" applyBorder="1" applyAlignment="1">
      <alignment horizontal="left" vertical="center" wrapText="1"/>
    </xf>
    <xf numFmtId="181" fontId="28" fillId="27" borderId="12" xfId="0" applyNumberFormat="1" applyFont="1" applyFill="1" applyBorder="1" applyAlignment="1" applyProtection="1">
      <alignment vertical="center" wrapText="1"/>
      <protection hidden="1"/>
    </xf>
    <xf numFmtId="0" fontId="6" fillId="38" borderId="13" xfId="0" applyFont="1" applyFill="1" applyBorder="1" applyAlignment="1">
      <alignment vertical="center" wrapText="1"/>
    </xf>
    <xf numFmtId="0" fontId="6" fillId="38" borderId="14" xfId="0" applyFont="1" applyFill="1" applyBorder="1" applyAlignment="1">
      <alignment vertical="center" wrapText="1"/>
    </xf>
    <xf numFmtId="0" fontId="37" fillId="27" borderId="214" xfId="0" applyFont="1" applyFill="1" applyBorder="1" applyAlignment="1" applyProtection="1">
      <alignment horizontal="left" vertical="center" wrapText="1"/>
      <protection hidden="1"/>
    </xf>
    <xf numFmtId="0" fontId="37" fillId="27" borderId="170" xfId="0" applyFont="1" applyFill="1" applyBorder="1" applyAlignment="1" applyProtection="1">
      <alignment horizontal="left" vertical="center" wrapText="1"/>
      <protection hidden="1"/>
    </xf>
    <xf numFmtId="181" fontId="28" fillId="31" borderId="27" xfId="0" applyNumberFormat="1" applyFont="1" applyFill="1" applyBorder="1" applyAlignment="1" applyProtection="1">
      <alignment horizontal="center" vertical="center" wrapText="1"/>
      <protection hidden="1"/>
    </xf>
    <xf numFmtId="181" fontId="28" fillId="31" borderId="10" xfId="0" applyNumberFormat="1" applyFont="1" applyFill="1" applyBorder="1" applyAlignment="1" applyProtection="1">
      <alignment horizontal="center" vertical="center" wrapText="1"/>
      <protection hidden="1"/>
    </xf>
    <xf numFmtId="181" fontId="28" fillId="27" borderId="169" xfId="0" applyNumberFormat="1" applyFont="1" applyFill="1" applyBorder="1" applyAlignment="1" applyProtection="1">
      <alignment horizontal="left" vertical="center" shrinkToFit="1"/>
      <protection hidden="1"/>
    </xf>
    <xf numFmtId="0" fontId="6" fillId="38" borderId="171" xfId="0" applyFont="1" applyFill="1" applyBorder="1" applyAlignment="1">
      <alignment horizontal="left" vertical="center" shrinkToFit="1"/>
    </xf>
    <xf numFmtId="0" fontId="6" fillId="38" borderId="170" xfId="0" applyFont="1" applyFill="1" applyBorder="1" applyAlignment="1">
      <alignment horizontal="left" vertical="center" shrinkToFit="1"/>
    </xf>
    <xf numFmtId="181" fontId="28" fillId="27" borderId="14" xfId="0" applyNumberFormat="1" applyFont="1" applyFill="1" applyBorder="1" applyAlignment="1" applyProtection="1">
      <alignment horizontal="left" vertical="center" wrapText="1"/>
      <protection hidden="1"/>
    </xf>
    <xf numFmtId="0" fontId="6" fillId="38" borderId="171" xfId="0" applyFont="1" applyFill="1" applyBorder="1" applyAlignment="1">
      <alignment vertical="center" wrapText="1"/>
    </xf>
    <xf numFmtId="0" fontId="6" fillId="38" borderId="170" xfId="0" applyFont="1" applyFill="1" applyBorder="1" applyAlignment="1">
      <alignment vertical="center" wrapText="1"/>
    </xf>
    <xf numFmtId="0" fontId="6" fillId="38" borderId="166" xfId="0" applyFont="1" applyFill="1" applyBorder="1">
      <alignment vertical="center"/>
    </xf>
    <xf numFmtId="0" fontId="6" fillId="38" borderId="14" xfId="0" applyFont="1" applyFill="1" applyBorder="1">
      <alignment vertical="center"/>
    </xf>
    <xf numFmtId="0" fontId="6" fillId="38" borderId="170" xfId="0" applyFont="1" applyFill="1" applyBorder="1">
      <alignment vertical="center"/>
    </xf>
    <xf numFmtId="0" fontId="28" fillId="27" borderId="80" xfId="0" applyNumberFormat="1" applyFont="1" applyFill="1" applyBorder="1" applyAlignment="1" applyProtection="1">
      <alignment vertical="center" wrapText="1"/>
      <protection hidden="1"/>
    </xf>
    <xf numFmtId="0" fontId="28" fillId="27" borderId="50" xfId="0" applyNumberFormat="1" applyFont="1" applyFill="1" applyBorder="1" applyAlignment="1" applyProtection="1">
      <alignment vertical="center" wrapText="1"/>
      <protection hidden="1"/>
    </xf>
    <xf numFmtId="0" fontId="28" fillId="27" borderId="82" xfId="0" applyNumberFormat="1" applyFont="1" applyFill="1" applyBorder="1" applyAlignment="1" applyProtection="1">
      <alignment vertical="center" wrapText="1"/>
      <protection hidden="1"/>
    </xf>
    <xf numFmtId="0" fontId="28" fillId="27" borderId="80" xfId="0" applyNumberFormat="1" applyFont="1" applyFill="1" applyBorder="1" applyAlignment="1" applyProtection="1">
      <alignment vertical="center"/>
      <protection hidden="1"/>
    </xf>
    <xf numFmtId="0" fontId="28" fillId="27" borderId="50" xfId="0" applyNumberFormat="1" applyFont="1" applyFill="1" applyBorder="1" applyAlignment="1" applyProtection="1">
      <alignment vertical="center"/>
      <protection hidden="1"/>
    </xf>
    <xf numFmtId="0" fontId="28" fillId="27" borderId="27" xfId="0" applyNumberFormat="1" applyFont="1" applyFill="1" applyBorder="1" applyAlignment="1" applyProtection="1">
      <alignment vertical="center"/>
      <protection hidden="1"/>
    </xf>
    <xf numFmtId="181" fontId="28" fillId="27" borderId="12" xfId="0" applyNumberFormat="1" applyFont="1" applyFill="1" applyBorder="1" applyAlignment="1" applyProtection="1">
      <alignment vertical="center" shrinkToFit="1"/>
      <protection hidden="1"/>
    </xf>
    <xf numFmtId="0" fontId="6" fillId="38" borderId="13" xfId="0" applyFont="1" applyFill="1" applyBorder="1" applyAlignment="1">
      <alignment vertical="center" shrinkToFit="1"/>
    </xf>
    <xf numFmtId="0" fontId="6" fillId="38" borderId="14" xfId="0" applyFont="1" applyFill="1" applyBorder="1" applyAlignment="1">
      <alignment vertical="center" shrinkToFit="1"/>
    </xf>
    <xf numFmtId="203" fontId="26" fillId="31" borderId="92" xfId="0" applyNumberFormat="1" applyFont="1" applyFill="1" applyBorder="1" applyAlignment="1" applyProtection="1">
      <alignment horizontal="center" vertical="center"/>
      <protection locked="0" hidden="1"/>
    </xf>
    <xf numFmtId="203" fontId="26" fillId="31" borderId="115" xfId="0" applyNumberFormat="1" applyFont="1" applyFill="1" applyBorder="1" applyAlignment="1" applyProtection="1">
      <alignment horizontal="center" vertical="center"/>
      <protection locked="0" hidden="1"/>
    </xf>
    <xf numFmtId="0" fontId="37" fillId="27" borderId="51" xfId="0" applyFont="1" applyFill="1" applyBorder="1" applyAlignment="1" applyProtection="1">
      <alignment horizontal="left" vertical="center" wrapText="1"/>
      <protection hidden="1"/>
    </xf>
    <xf numFmtId="0" fontId="37" fillId="27" borderId="15" xfId="0" applyFont="1" applyFill="1" applyBorder="1" applyAlignment="1" applyProtection="1">
      <alignment horizontal="left" vertical="center" wrapText="1"/>
      <protection hidden="1"/>
    </xf>
    <xf numFmtId="181" fontId="28" fillId="42" borderId="12" xfId="0" applyNumberFormat="1" applyFont="1" applyFill="1" applyBorder="1" applyAlignment="1" applyProtection="1">
      <alignment horizontal="left" vertical="center" wrapText="1"/>
      <protection hidden="1"/>
    </xf>
    <xf numFmtId="0" fontId="6" fillId="48" borderId="14" xfId="0" applyFont="1" applyFill="1" applyBorder="1">
      <alignment vertical="center"/>
    </xf>
    <xf numFmtId="181" fontId="28" fillId="42" borderId="13" xfId="0" applyNumberFormat="1" applyFont="1" applyFill="1" applyBorder="1" applyAlignment="1" applyProtection="1">
      <alignment horizontal="left" vertical="center" wrapText="1"/>
      <protection hidden="1"/>
    </xf>
    <xf numFmtId="181" fontId="28" fillId="42" borderId="169" xfId="0" applyNumberFormat="1" applyFont="1" applyFill="1" applyBorder="1" applyAlignment="1" applyProtection="1">
      <alignment horizontal="left" vertical="center" wrapText="1"/>
      <protection hidden="1"/>
    </xf>
    <xf numFmtId="0" fontId="6" fillId="48" borderId="170" xfId="0" applyFont="1" applyFill="1" applyBorder="1" applyAlignment="1">
      <alignment horizontal="left" vertical="center" wrapText="1"/>
    </xf>
    <xf numFmtId="181" fontId="28" fillId="27" borderId="52" xfId="0" applyNumberFormat="1" applyFont="1" applyFill="1" applyBorder="1" applyAlignment="1" applyProtection="1">
      <alignment horizontal="left" vertical="center" wrapText="1"/>
      <protection hidden="1"/>
    </xf>
    <xf numFmtId="181" fontId="28" fillId="27" borderId="54" xfId="0" applyNumberFormat="1" applyFont="1" applyFill="1" applyBorder="1" applyAlignment="1" applyProtection="1">
      <alignment horizontal="left" vertical="center" wrapText="1"/>
      <protection hidden="1"/>
    </xf>
    <xf numFmtId="181" fontId="28" fillId="27" borderId="56" xfId="0" applyNumberFormat="1" applyFont="1" applyFill="1" applyBorder="1" applyAlignment="1" applyProtection="1">
      <alignment horizontal="left" vertical="center" wrapText="1"/>
      <protection hidden="1"/>
    </xf>
    <xf numFmtId="181" fontId="28" fillId="27" borderId="58" xfId="0" applyNumberFormat="1" applyFont="1" applyFill="1" applyBorder="1" applyAlignment="1" applyProtection="1">
      <alignment horizontal="left" vertical="center" wrapText="1"/>
      <protection hidden="1"/>
    </xf>
    <xf numFmtId="0" fontId="28" fillId="27" borderId="12" xfId="0" applyFont="1" applyFill="1" applyBorder="1" applyAlignment="1" applyProtection="1">
      <alignment horizontal="left" vertical="center" wrapText="1"/>
      <protection hidden="1"/>
    </xf>
    <xf numFmtId="0" fontId="20" fillId="38" borderId="14" xfId="0" applyFont="1" applyFill="1" applyBorder="1">
      <alignment vertical="center"/>
    </xf>
    <xf numFmtId="0" fontId="6" fillId="38" borderId="13" xfId="0" applyFont="1" applyFill="1" applyBorder="1">
      <alignment vertical="center"/>
    </xf>
    <xf numFmtId="0" fontId="28" fillId="27" borderId="169" xfId="0" applyFont="1" applyFill="1" applyBorder="1" applyAlignment="1" applyProtection="1">
      <alignment horizontal="left" vertical="center" wrapText="1"/>
      <protection hidden="1"/>
    </xf>
    <xf numFmtId="0" fontId="20" fillId="38" borderId="170" xfId="0" applyFont="1" applyFill="1" applyBorder="1" applyAlignment="1">
      <alignment horizontal="left" vertical="center" wrapText="1"/>
    </xf>
    <xf numFmtId="0" fontId="28" fillId="27" borderId="175" xfId="0" applyFont="1" applyFill="1" applyBorder="1" applyAlignment="1" applyProtection="1">
      <alignment horizontal="left" vertical="center" wrapText="1"/>
      <protection hidden="1"/>
    </xf>
    <xf numFmtId="0" fontId="0" fillId="38" borderId="13" xfId="0" applyFill="1" applyBorder="1" applyAlignment="1">
      <alignment horizontal="left" vertical="center" wrapText="1"/>
    </xf>
    <xf numFmtId="0" fontId="0" fillId="38" borderId="14" xfId="0" applyFill="1" applyBorder="1" applyAlignment="1">
      <alignment horizontal="left" vertical="center" wrapText="1"/>
    </xf>
    <xf numFmtId="0" fontId="28" fillId="27" borderId="185" xfId="0" applyFont="1" applyFill="1" applyBorder="1" applyAlignment="1" applyProtection="1">
      <alignment horizontal="left" vertical="center" wrapText="1"/>
      <protection hidden="1"/>
    </xf>
    <xf numFmtId="0" fontId="6" fillId="38" borderId="13" xfId="0" applyFont="1" applyFill="1" applyBorder="1" applyAlignment="1">
      <alignment vertical="center"/>
    </xf>
    <xf numFmtId="0" fontId="6" fillId="38" borderId="14" xfId="0" applyFont="1" applyFill="1" applyBorder="1" applyAlignment="1">
      <alignment vertical="center"/>
    </xf>
    <xf numFmtId="0" fontId="28" fillId="27" borderId="185"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181" fontId="28" fillId="27" borderId="12" xfId="0" applyNumberFormat="1" applyFont="1" applyFill="1" applyBorder="1" applyAlignment="1" applyProtection="1">
      <alignment horizontal="left" vertical="center"/>
      <protection hidden="1"/>
    </xf>
    <xf numFmtId="0" fontId="6" fillId="38" borderId="13" xfId="0" applyFont="1" applyFill="1" applyBorder="1" applyAlignment="1">
      <alignment horizontal="left" vertical="center"/>
    </xf>
    <xf numFmtId="181" fontId="28" fillId="27" borderId="13" xfId="0" applyNumberFormat="1" applyFont="1" applyFill="1" applyBorder="1" applyAlignment="1" applyProtection="1">
      <alignment horizontal="left" vertical="center"/>
      <protection hidden="1"/>
    </xf>
    <xf numFmtId="0" fontId="6" fillId="38" borderId="14" xfId="0" applyFont="1" applyFill="1" applyBorder="1" applyAlignment="1">
      <alignment horizontal="left" vertical="center"/>
    </xf>
    <xf numFmtId="181" fontId="28" fillId="27" borderId="164" xfId="0" applyNumberFormat="1" applyFont="1" applyFill="1" applyBorder="1" applyAlignment="1" applyProtection="1">
      <alignment horizontal="left" vertical="center"/>
      <protection hidden="1"/>
    </xf>
    <xf numFmtId="181" fontId="28" fillId="27" borderId="165" xfId="0" applyNumberFormat="1" applyFont="1" applyFill="1" applyBorder="1" applyAlignment="1" applyProtection="1">
      <alignment horizontal="left" vertical="center"/>
      <protection hidden="1"/>
    </xf>
    <xf numFmtId="0" fontId="28" fillId="27" borderId="184" xfId="0" applyFont="1" applyFill="1" applyBorder="1" applyAlignment="1" applyProtection="1">
      <alignment horizontal="left" vertical="center" wrapText="1"/>
      <protection hidden="1"/>
    </xf>
    <xf numFmtId="0" fontId="28" fillId="27" borderId="165" xfId="0" applyFont="1" applyFill="1" applyBorder="1" applyAlignment="1" applyProtection="1">
      <alignment horizontal="left" vertical="center" wrapText="1"/>
      <protection hidden="1"/>
    </xf>
    <xf numFmtId="0" fontId="28" fillId="27" borderId="166" xfId="0" applyFont="1" applyFill="1" applyBorder="1" applyAlignment="1" applyProtection="1">
      <alignment horizontal="left" vertical="center" wrapText="1"/>
      <protection hidden="1"/>
    </xf>
    <xf numFmtId="0" fontId="28" fillId="27" borderId="185" xfId="0" applyFont="1" applyFill="1" applyBorder="1" applyAlignment="1" applyProtection="1">
      <alignment vertical="center" wrapText="1"/>
      <protection hidden="1"/>
    </xf>
    <xf numFmtId="0" fontId="0" fillId="38" borderId="171" xfId="0" applyFill="1" applyBorder="1" applyAlignment="1">
      <alignment horizontal="left" vertical="center" wrapText="1"/>
    </xf>
    <xf numFmtId="0" fontId="0" fillId="38" borderId="170" xfId="0" applyFill="1" applyBorder="1" applyAlignment="1">
      <alignment horizontal="left" vertical="center" wrapText="1"/>
    </xf>
    <xf numFmtId="0" fontId="28" fillId="27" borderId="26" xfId="0" applyFont="1" applyFill="1" applyBorder="1" applyAlignment="1" applyProtection="1">
      <alignment horizontal="left" vertical="center" wrapText="1"/>
      <protection hidden="1"/>
    </xf>
    <xf numFmtId="0" fontId="28" fillId="27" borderId="27" xfId="0" applyFont="1" applyFill="1" applyBorder="1" applyAlignment="1" applyProtection="1">
      <alignment horizontal="left" vertical="center" wrapText="1"/>
      <protection hidden="1"/>
    </xf>
    <xf numFmtId="0" fontId="28" fillId="27" borderId="10" xfId="0" applyFont="1" applyFill="1" applyBorder="1" applyAlignment="1" applyProtection="1">
      <alignment horizontal="left" vertical="center" wrapText="1"/>
      <protection hidden="1"/>
    </xf>
    <xf numFmtId="0" fontId="28" fillId="27" borderId="80" xfId="0" applyFont="1" applyFill="1" applyBorder="1" applyAlignment="1">
      <alignment horizontal="left" vertical="center" wrapText="1"/>
    </xf>
    <xf numFmtId="0" fontId="28" fillId="27" borderId="50" xfId="0" applyFont="1" applyFill="1" applyBorder="1" applyAlignment="1">
      <alignment horizontal="left" vertical="center" wrapText="1"/>
    </xf>
    <xf numFmtId="0" fontId="28" fillId="27" borderId="27" xfId="0" applyFont="1" applyFill="1" applyBorder="1" applyAlignment="1">
      <alignment horizontal="left" vertical="center" wrapText="1"/>
    </xf>
    <xf numFmtId="0" fontId="6" fillId="38" borderId="50" xfId="0" applyFont="1" applyFill="1" applyBorder="1" applyAlignment="1">
      <alignment horizontal="left" vertical="center" wrapText="1"/>
    </xf>
    <xf numFmtId="195" fontId="45" fillId="27" borderId="50" xfId="0" applyNumberFormat="1" applyFont="1" applyFill="1" applyBorder="1" applyAlignment="1" applyProtection="1">
      <alignment horizontal="center" vertical="center" wrapText="1"/>
      <protection hidden="1"/>
    </xf>
    <xf numFmtId="181" fontId="28" fillId="27" borderId="64" xfId="0" applyNumberFormat="1" applyFont="1" applyFill="1" applyBorder="1" applyAlignment="1" applyProtection="1">
      <alignment horizontal="left" vertical="center" wrapText="1"/>
      <protection hidden="1"/>
    </xf>
    <xf numFmtId="0" fontId="6" fillId="38" borderId="17" xfId="0" applyFont="1" applyFill="1" applyBorder="1" applyAlignment="1">
      <alignment horizontal="left" vertical="center" wrapText="1"/>
    </xf>
    <xf numFmtId="0" fontId="6" fillId="38" borderId="64" xfId="0" applyFont="1" applyFill="1" applyBorder="1" applyAlignment="1">
      <alignment horizontal="left" vertical="center" wrapText="1"/>
    </xf>
    <xf numFmtId="0" fontId="6" fillId="38" borderId="56" xfId="0" applyFont="1" applyFill="1" applyBorder="1" applyAlignment="1">
      <alignment horizontal="left" vertical="center" wrapText="1"/>
    </xf>
    <xf numFmtId="0" fontId="6" fillId="38" borderId="58" xfId="0" applyFont="1" applyFill="1" applyBorder="1" applyAlignment="1">
      <alignment horizontal="left" vertical="center" wrapText="1"/>
    </xf>
    <xf numFmtId="0" fontId="28" fillId="27" borderId="64" xfId="0" applyFont="1" applyFill="1" applyBorder="1" applyAlignment="1" applyProtection="1">
      <alignment horizontal="left" vertical="center" wrapText="1"/>
      <protection hidden="1"/>
    </xf>
    <xf numFmtId="0" fontId="28" fillId="27" borderId="50" xfId="0" applyFont="1" applyFill="1" applyBorder="1" applyAlignment="1" applyProtection="1">
      <alignment horizontal="left" vertical="center" wrapText="1"/>
      <protection hidden="1"/>
    </xf>
    <xf numFmtId="181" fontId="28" fillId="42" borderId="164" xfId="0" applyNumberFormat="1" applyFont="1" applyFill="1" applyBorder="1" applyAlignment="1" applyProtection="1">
      <alignment horizontal="left" vertical="center" wrapText="1"/>
      <protection hidden="1"/>
    </xf>
    <xf numFmtId="181" fontId="28" fillId="42" borderId="166" xfId="0" applyNumberFormat="1" applyFont="1" applyFill="1" applyBorder="1" applyAlignment="1" applyProtection="1">
      <alignment horizontal="left" vertical="center" wrapText="1"/>
      <protection hidden="1"/>
    </xf>
    <xf numFmtId="181" fontId="28" fillId="42" borderId="14" xfId="0" applyNumberFormat="1" applyFont="1" applyFill="1" applyBorder="1" applyAlignment="1" applyProtection="1">
      <alignment horizontal="left" vertical="center" wrapText="1"/>
      <protection hidden="1"/>
    </xf>
    <xf numFmtId="206" fontId="23" fillId="27" borderId="188" xfId="0" applyNumberFormat="1" applyFont="1" applyFill="1" applyBorder="1" applyAlignment="1" applyProtection="1">
      <alignment horizontal="center" vertical="center"/>
      <protection locked="0" hidden="1"/>
    </xf>
    <xf numFmtId="206" fontId="23" fillId="27" borderId="216" xfId="0" applyNumberFormat="1" applyFont="1" applyFill="1" applyBorder="1" applyAlignment="1" applyProtection="1">
      <alignment horizontal="center" vertical="center"/>
      <protection locked="0" hidden="1"/>
    </xf>
    <xf numFmtId="0" fontId="28" fillId="27" borderId="89" xfId="0" applyFont="1" applyFill="1" applyBorder="1" applyAlignment="1" applyProtection="1">
      <alignment horizontal="left" vertical="center"/>
      <protection hidden="1"/>
    </xf>
    <xf numFmtId="0" fontId="0" fillId="38" borderId="54" xfId="0" applyFill="1" applyBorder="1" applyAlignment="1">
      <alignment horizontal="left" vertical="center"/>
    </xf>
    <xf numFmtId="0" fontId="0" fillId="38" borderId="62" xfId="0" applyFill="1" applyBorder="1" applyAlignment="1">
      <alignment horizontal="left" vertical="center"/>
    </xf>
    <xf numFmtId="0" fontId="0" fillId="38" borderId="17" xfId="0" applyFill="1" applyBorder="1" applyAlignment="1">
      <alignment horizontal="left" vertical="center"/>
    </xf>
    <xf numFmtId="0" fontId="0" fillId="38" borderId="77" xfId="0" applyFill="1" applyBorder="1" applyAlignment="1">
      <alignment horizontal="left" vertical="center"/>
    </xf>
    <xf numFmtId="0" fontId="0" fillId="38" borderId="58" xfId="0" applyFill="1" applyBorder="1" applyAlignment="1">
      <alignment horizontal="left" vertical="center"/>
    </xf>
    <xf numFmtId="0" fontId="6" fillId="38" borderId="165" xfId="0" applyFont="1" applyFill="1" applyBorder="1" applyAlignment="1">
      <alignment vertical="center" wrapText="1"/>
    </xf>
    <xf numFmtId="0" fontId="6" fillId="38" borderId="166" xfId="0" applyFont="1" applyFill="1" applyBorder="1" applyAlignment="1">
      <alignment vertical="center" wrapText="1"/>
    </xf>
    <xf numFmtId="0" fontId="6" fillId="0" borderId="27" xfId="0" applyFont="1" applyBorder="1" applyAlignment="1">
      <alignment horizontal="center" vertical="center" shrinkToFit="1"/>
    </xf>
    <xf numFmtId="0" fontId="0" fillId="38" borderId="115" xfId="0" applyFill="1" applyBorder="1" applyAlignment="1">
      <alignment horizontal="center" vertical="center"/>
    </xf>
    <xf numFmtId="0" fontId="28" fillId="27" borderId="89" xfId="0" applyFont="1" applyFill="1" applyBorder="1" applyAlignment="1" applyProtection="1">
      <alignment horizontal="left" vertical="center" wrapText="1"/>
      <protection hidden="1"/>
    </xf>
    <xf numFmtId="0" fontId="0" fillId="38" borderId="54" xfId="0" applyFill="1" applyBorder="1" applyAlignment="1">
      <alignment horizontal="left" vertical="center" wrapText="1"/>
    </xf>
    <xf numFmtId="0" fontId="0" fillId="38" borderId="62" xfId="0" applyFill="1" applyBorder="1" applyAlignment="1">
      <alignment horizontal="left" vertical="center" wrapText="1"/>
    </xf>
    <xf numFmtId="0" fontId="0" fillId="38" borderId="17" xfId="0" applyFill="1" applyBorder="1" applyAlignment="1">
      <alignment horizontal="left" vertical="center" wrapText="1"/>
    </xf>
    <xf numFmtId="0" fontId="0" fillId="38" borderId="77" xfId="0" applyFill="1" applyBorder="1" applyAlignment="1">
      <alignment horizontal="left" vertical="center" wrapText="1"/>
    </xf>
    <xf numFmtId="0" fontId="0" fillId="38" borderId="58" xfId="0" applyFill="1" applyBorder="1" applyAlignment="1">
      <alignment horizontal="left" vertical="center" wrapText="1"/>
    </xf>
    <xf numFmtId="0" fontId="28" fillId="27" borderId="164" xfId="0" applyFont="1" applyFill="1" applyBorder="1" applyAlignment="1" applyProtection="1">
      <alignment horizontal="left" vertical="center" wrapText="1"/>
      <protection hidden="1"/>
    </xf>
    <xf numFmtId="0" fontId="0" fillId="38" borderId="165" xfId="0" applyFill="1" applyBorder="1" applyAlignment="1">
      <alignment horizontal="left" vertical="center" wrapText="1"/>
    </xf>
    <xf numFmtId="0" fontId="0" fillId="38" borderId="166" xfId="0" applyFill="1" applyBorder="1" applyAlignment="1">
      <alignment horizontal="left" vertical="center" wrapText="1"/>
    </xf>
    <xf numFmtId="181" fontId="28" fillId="27" borderId="169" xfId="0" applyNumberFormat="1" applyFont="1" applyFill="1" applyBorder="1" applyAlignment="1" applyProtection="1">
      <alignment horizontal="left" vertical="center"/>
      <protection hidden="1"/>
    </xf>
    <xf numFmtId="0" fontId="6" fillId="38" borderId="171" xfId="0" applyFont="1" applyFill="1" applyBorder="1" applyAlignment="1">
      <alignment horizontal="left" vertical="center"/>
    </xf>
    <xf numFmtId="181" fontId="28" fillId="27" borderId="171" xfId="0" applyNumberFormat="1" applyFont="1" applyFill="1" applyBorder="1" applyAlignment="1" applyProtection="1">
      <alignment horizontal="left" vertical="center"/>
      <protection hidden="1"/>
    </xf>
    <xf numFmtId="0" fontId="6" fillId="38" borderId="170" xfId="0" applyFont="1" applyFill="1" applyBorder="1" applyAlignment="1">
      <alignment horizontal="left" vertical="center"/>
    </xf>
    <xf numFmtId="0" fontId="28" fillId="27" borderId="77" xfId="0" applyFont="1" applyFill="1" applyBorder="1" applyAlignment="1" applyProtection="1">
      <alignment horizontal="left" vertical="center" wrapText="1"/>
      <protection hidden="1"/>
    </xf>
    <xf numFmtId="0" fontId="6" fillId="38" borderId="57" xfId="0" applyFont="1" applyFill="1" applyBorder="1" applyAlignment="1">
      <alignment vertical="center"/>
    </xf>
    <xf numFmtId="0" fontId="6" fillId="38" borderId="58" xfId="0" applyFont="1" applyFill="1" applyBorder="1" applyAlignment="1">
      <alignment vertical="center"/>
    </xf>
    <xf numFmtId="0" fontId="6" fillId="38" borderId="166" xfId="0" applyFont="1" applyFill="1" applyBorder="1" applyAlignment="1">
      <alignment horizontal="left" vertical="center"/>
    </xf>
    <xf numFmtId="0" fontId="28" fillId="27" borderId="186" xfId="0" applyFont="1" applyFill="1" applyBorder="1" applyAlignment="1" applyProtection="1">
      <alignment horizontal="left" vertical="center" wrapText="1"/>
      <protection hidden="1"/>
    </xf>
    <xf numFmtId="0" fontId="28" fillId="27" borderId="184" xfId="0" applyFont="1" applyFill="1" applyBorder="1" applyAlignment="1" applyProtection="1">
      <alignment horizontal="left" vertical="center"/>
      <protection hidden="1"/>
    </xf>
    <xf numFmtId="0" fontId="6" fillId="38" borderId="165" xfId="0" applyFont="1" applyFill="1" applyBorder="1" applyAlignment="1">
      <alignment vertical="center"/>
    </xf>
    <xf numFmtId="0" fontId="6" fillId="38" borderId="166" xfId="0" applyFont="1" applyFill="1" applyBorder="1" applyAlignment="1">
      <alignment vertical="center"/>
    </xf>
    <xf numFmtId="0" fontId="28" fillId="38" borderId="171" xfId="0" applyFont="1" applyFill="1" applyBorder="1" applyAlignment="1">
      <alignment vertical="center" wrapText="1"/>
    </xf>
    <xf numFmtId="0" fontId="28" fillId="38" borderId="170" xfId="0" applyFont="1" applyFill="1" applyBorder="1" applyAlignment="1">
      <alignment vertical="center" wrapText="1"/>
    </xf>
    <xf numFmtId="0" fontId="0" fillId="38" borderId="64" xfId="0" applyFill="1" applyBorder="1" applyAlignment="1">
      <alignment horizontal="left" vertical="center" wrapText="1"/>
    </xf>
    <xf numFmtId="0" fontId="0" fillId="38" borderId="56" xfId="0" applyFill="1" applyBorder="1" applyAlignment="1">
      <alignment horizontal="left" vertical="center" wrapText="1"/>
    </xf>
    <xf numFmtId="0" fontId="28" fillId="27" borderId="52" xfId="0" applyFont="1" applyFill="1" applyBorder="1" applyAlignment="1" applyProtection="1">
      <alignment horizontal="left" vertical="center"/>
      <protection hidden="1"/>
    </xf>
    <xf numFmtId="0" fontId="28" fillId="27" borderId="54" xfId="0" applyFont="1" applyFill="1" applyBorder="1" applyAlignment="1" applyProtection="1">
      <alignment horizontal="left" vertical="center"/>
      <protection hidden="1"/>
    </xf>
    <xf numFmtId="0" fontId="0" fillId="0" borderId="50" xfId="0" applyBorder="1" applyAlignment="1">
      <alignment horizontal="left" vertical="center" wrapText="1"/>
    </xf>
    <xf numFmtId="0" fontId="0" fillId="0" borderId="27" xfId="0" applyBorder="1" applyAlignment="1">
      <alignment horizontal="left" vertical="center" wrapText="1"/>
    </xf>
    <xf numFmtId="0" fontId="28" fillId="27" borderId="13" xfId="0" applyFont="1" applyFill="1" applyBorder="1" applyAlignment="1" applyProtection="1">
      <alignment horizontal="left" vertical="center" wrapText="1"/>
      <protection hidden="1"/>
    </xf>
    <xf numFmtId="0" fontId="28" fillId="27" borderId="14" xfId="0" applyFont="1" applyFill="1" applyBorder="1" applyAlignment="1" applyProtection="1">
      <alignment horizontal="left" vertical="center" wrapText="1"/>
      <protection hidden="1"/>
    </xf>
    <xf numFmtId="0" fontId="0" fillId="0" borderId="171" xfId="0" applyBorder="1" applyAlignment="1">
      <alignment horizontal="left" vertical="center" wrapText="1"/>
    </xf>
    <xf numFmtId="0" fontId="0" fillId="0" borderId="170" xfId="0" applyBorder="1" applyAlignment="1">
      <alignment horizontal="left" vertical="center" wrapText="1"/>
    </xf>
    <xf numFmtId="0" fontId="37" fillId="31" borderId="68" xfId="0" applyFont="1" applyFill="1" applyBorder="1" applyAlignment="1" applyProtection="1">
      <alignment horizontal="center" vertical="center" wrapText="1"/>
      <protection locked="0" hidden="1"/>
    </xf>
    <xf numFmtId="0" fontId="0" fillId="0" borderId="69" xfId="0" applyBorder="1" applyAlignment="1" applyProtection="1">
      <alignment horizontal="center" vertical="center" wrapText="1"/>
      <protection locked="0" hidden="1"/>
    </xf>
    <xf numFmtId="0" fontId="0" fillId="0" borderId="71" xfId="0" applyBorder="1" applyAlignment="1" applyProtection="1">
      <alignment horizontal="center" vertical="center" wrapText="1"/>
      <protection locked="0" hidden="1"/>
    </xf>
    <xf numFmtId="181" fontId="28" fillId="42" borderId="170" xfId="0" applyNumberFormat="1" applyFont="1" applyFill="1" applyBorder="1" applyAlignment="1" applyProtection="1">
      <alignment horizontal="left" vertical="center" wrapText="1"/>
      <protection hidden="1"/>
    </xf>
    <xf numFmtId="0" fontId="28" fillId="27" borderId="164" xfId="0" applyNumberFormat="1" applyFont="1" applyFill="1" applyBorder="1" applyAlignment="1" applyProtection="1">
      <alignment vertical="center" wrapText="1"/>
      <protection hidden="1"/>
    </xf>
    <xf numFmtId="0" fontId="28" fillId="27" borderId="165" xfId="0" applyNumberFormat="1" applyFont="1" applyFill="1" applyBorder="1" applyAlignment="1" applyProtection="1">
      <alignment vertical="center" wrapText="1"/>
      <protection hidden="1"/>
    </xf>
    <xf numFmtId="0" fontId="28" fillId="27" borderId="250" xfId="0" applyNumberFormat="1" applyFont="1" applyFill="1" applyBorder="1" applyAlignment="1" applyProtection="1">
      <alignment vertical="center" wrapText="1"/>
      <protection hidden="1"/>
    </xf>
    <xf numFmtId="0" fontId="28" fillId="27" borderId="169" xfId="0" applyNumberFormat="1" applyFont="1" applyFill="1" applyBorder="1" applyAlignment="1" applyProtection="1">
      <alignment vertical="center" wrapText="1"/>
      <protection hidden="1"/>
    </xf>
    <xf numFmtId="0" fontId="28" fillId="27" borderId="171" xfId="0" applyNumberFormat="1" applyFont="1" applyFill="1" applyBorder="1" applyAlignment="1" applyProtection="1">
      <alignment vertical="center" wrapText="1"/>
      <protection hidden="1"/>
    </xf>
    <xf numFmtId="0" fontId="28" fillId="27" borderId="252" xfId="0" applyNumberFormat="1" applyFont="1" applyFill="1" applyBorder="1" applyAlignment="1" applyProtection="1">
      <alignment vertical="center" wrapText="1"/>
      <protection hidden="1"/>
    </xf>
    <xf numFmtId="181" fontId="28" fillId="27" borderId="164" xfId="0" applyNumberFormat="1" applyFont="1" applyFill="1" applyBorder="1" applyAlignment="1" applyProtection="1">
      <alignment vertical="center" wrapText="1"/>
      <protection hidden="1"/>
    </xf>
    <xf numFmtId="181" fontId="28" fillId="27" borderId="165" xfId="0" applyNumberFormat="1" applyFont="1" applyFill="1" applyBorder="1" applyAlignment="1" applyProtection="1">
      <alignment vertical="center" wrapText="1"/>
      <protection hidden="1"/>
    </xf>
    <xf numFmtId="181" fontId="28" fillId="27" borderId="166" xfId="0" applyNumberFormat="1" applyFont="1" applyFill="1" applyBorder="1" applyAlignment="1" applyProtection="1">
      <alignment vertical="center" wrapText="1"/>
      <protection hidden="1"/>
    </xf>
    <xf numFmtId="181" fontId="28" fillId="27" borderId="13" xfId="0" applyNumberFormat="1" applyFont="1" applyFill="1" applyBorder="1" applyAlignment="1" applyProtection="1">
      <alignment vertical="center" wrapText="1"/>
      <protection hidden="1"/>
    </xf>
    <xf numFmtId="181" fontId="28" fillId="27" borderId="14" xfId="0" applyNumberFormat="1" applyFont="1" applyFill="1" applyBorder="1" applyAlignment="1" applyProtection="1">
      <alignment vertical="center" wrapText="1"/>
      <protection hidden="1"/>
    </xf>
    <xf numFmtId="181" fontId="28" fillId="27" borderId="171" xfId="0" applyNumberFormat="1" applyFont="1" applyFill="1" applyBorder="1" applyAlignment="1" applyProtection="1">
      <alignment vertical="center" wrapText="1"/>
      <protection hidden="1"/>
    </xf>
    <xf numFmtId="181" fontId="28" fillId="27" borderId="170" xfId="0" applyNumberFormat="1" applyFont="1" applyFill="1" applyBorder="1" applyAlignment="1" applyProtection="1">
      <alignment vertical="center" wrapText="1"/>
      <protection hidden="1"/>
    </xf>
    <xf numFmtId="181" fontId="28" fillId="27" borderId="26" xfId="0" applyNumberFormat="1" applyFont="1" applyFill="1" applyBorder="1" applyAlignment="1" applyProtection="1">
      <alignment horizontal="center" vertical="top" shrinkToFit="1"/>
      <protection hidden="1"/>
    </xf>
    <xf numFmtId="0" fontId="6" fillId="38" borderId="171" xfId="0" applyFont="1" applyFill="1" applyBorder="1" applyAlignment="1">
      <alignment vertical="center"/>
    </xf>
    <xf numFmtId="0" fontId="6" fillId="38" borderId="170" xfId="0" applyFont="1" applyFill="1" applyBorder="1" applyAlignment="1">
      <alignment vertical="center"/>
    </xf>
    <xf numFmtId="0" fontId="28" fillId="27" borderId="87" xfId="0" applyFont="1" applyFill="1" applyBorder="1" applyAlignment="1" applyProtection="1">
      <alignment horizontal="left" vertical="center" wrapText="1"/>
      <protection hidden="1"/>
    </xf>
    <xf numFmtId="0" fontId="28" fillId="27" borderId="195" xfId="0" applyFont="1" applyFill="1" applyBorder="1" applyAlignment="1" applyProtection="1">
      <alignment horizontal="left" vertical="center" wrapText="1"/>
      <protection hidden="1"/>
    </xf>
    <xf numFmtId="0" fontId="28" fillId="27" borderId="201" xfId="0" applyFont="1" applyFill="1" applyBorder="1" applyAlignment="1" applyProtection="1">
      <alignment horizontal="center" vertical="center" wrapText="1"/>
      <protection hidden="1"/>
    </xf>
    <xf numFmtId="0" fontId="28" fillId="27" borderId="181" xfId="0" applyFont="1" applyFill="1" applyBorder="1" applyAlignment="1" applyProtection="1">
      <alignment horizontal="center" vertical="center" wrapText="1"/>
      <protection hidden="1"/>
    </xf>
    <xf numFmtId="0" fontId="28" fillId="27" borderId="62" xfId="0" applyFont="1" applyFill="1" applyBorder="1" applyAlignment="1" applyProtection="1">
      <alignment horizontal="center" vertical="center" wrapText="1"/>
      <protection hidden="1"/>
    </xf>
    <xf numFmtId="0" fontId="28" fillId="27" borderId="0" xfId="0" applyFont="1" applyFill="1" applyBorder="1" applyAlignment="1" applyProtection="1">
      <alignment horizontal="center" vertical="center" wrapText="1"/>
      <protection hidden="1"/>
    </xf>
    <xf numFmtId="0" fontId="28" fillId="27" borderId="86" xfId="0" applyFont="1" applyFill="1" applyBorder="1" applyAlignment="1" applyProtection="1">
      <alignment horizontal="center" vertical="center" wrapText="1"/>
      <protection hidden="1"/>
    </xf>
    <xf numFmtId="0" fontId="28" fillId="27" borderId="87" xfId="0" applyFont="1" applyFill="1" applyBorder="1" applyAlignment="1" applyProtection="1">
      <alignment horizontal="center" vertical="center" wrapText="1"/>
      <protection hidden="1"/>
    </xf>
    <xf numFmtId="0" fontId="28" fillId="27" borderId="176" xfId="0" applyFont="1" applyFill="1" applyBorder="1" applyAlignment="1" applyProtection="1">
      <alignment horizontal="left" vertical="center" wrapText="1"/>
      <protection hidden="1"/>
    </xf>
    <xf numFmtId="0" fontId="28" fillId="27" borderId="181" xfId="0" applyFont="1" applyFill="1" applyBorder="1" applyAlignment="1" applyProtection="1">
      <alignment horizontal="left" vertical="center" wrapText="1"/>
      <protection hidden="1"/>
    </xf>
    <xf numFmtId="0" fontId="28" fillId="27" borderId="182" xfId="0" applyFont="1" applyFill="1" applyBorder="1" applyAlignment="1" applyProtection="1">
      <alignment horizontal="left" vertical="center" wrapText="1"/>
      <protection hidden="1"/>
    </xf>
    <xf numFmtId="207" fontId="23" fillId="31" borderId="188" xfId="0" applyNumberFormat="1" applyFont="1" applyFill="1" applyBorder="1" applyAlignment="1" applyProtection="1">
      <alignment horizontal="center" vertical="center"/>
      <protection locked="0" hidden="1"/>
    </xf>
    <xf numFmtId="207" fontId="23" fillId="31" borderId="216" xfId="0" applyNumberFormat="1" applyFont="1" applyFill="1" applyBorder="1" applyAlignment="1" applyProtection="1">
      <alignment horizontal="center" vertical="center"/>
      <protection locked="0" hidden="1"/>
    </xf>
    <xf numFmtId="207" fontId="23" fillId="31" borderId="100" xfId="0" applyNumberFormat="1" applyFont="1" applyFill="1" applyBorder="1" applyAlignment="1" applyProtection="1">
      <alignment horizontal="center" vertical="center"/>
      <protection locked="0" hidden="1"/>
    </xf>
    <xf numFmtId="207" fontId="23" fillId="31" borderId="115" xfId="0" applyNumberFormat="1" applyFont="1" applyFill="1" applyBorder="1" applyAlignment="1" applyProtection="1">
      <alignment horizontal="center" vertical="center"/>
      <protection locked="0" hidden="1"/>
    </xf>
    <xf numFmtId="0" fontId="28" fillId="27" borderId="77" xfId="0" applyFont="1" applyFill="1" applyBorder="1" applyAlignment="1" applyProtection="1">
      <alignment horizontal="center" vertical="center" wrapText="1"/>
      <protection hidden="1"/>
    </xf>
    <xf numFmtId="0" fontId="28" fillId="27" borderId="57" xfId="0" applyFont="1" applyFill="1" applyBorder="1" applyAlignment="1" applyProtection="1">
      <alignment horizontal="center" vertical="center" wrapText="1"/>
      <protection hidden="1"/>
    </xf>
    <xf numFmtId="0" fontId="28" fillId="27" borderId="185" xfId="0" applyFont="1" applyFill="1" applyBorder="1" applyAlignment="1" applyProtection="1">
      <alignment horizontal="center" vertical="center" wrapText="1"/>
      <protection hidden="1"/>
    </xf>
    <xf numFmtId="0" fontId="28" fillId="27" borderId="13" xfId="0" applyFont="1" applyFill="1" applyBorder="1" applyAlignment="1" applyProtection="1">
      <alignment horizontal="center" vertical="center" wrapText="1"/>
      <protection hidden="1"/>
    </xf>
    <xf numFmtId="0" fontId="28" fillId="27" borderId="182" xfId="0" applyFont="1" applyFill="1" applyBorder="1" applyAlignment="1" applyProtection="1">
      <alignment horizontal="center" vertical="center" wrapText="1"/>
      <protection hidden="1"/>
    </xf>
    <xf numFmtId="0" fontId="28" fillId="27" borderId="17" xfId="0" applyFont="1" applyFill="1" applyBorder="1" applyAlignment="1" applyProtection="1">
      <alignment horizontal="center" vertical="center" wrapText="1"/>
      <protection hidden="1"/>
    </xf>
    <xf numFmtId="0" fontId="28" fillId="27" borderId="195" xfId="0" applyFont="1" applyFill="1" applyBorder="1" applyAlignment="1" applyProtection="1">
      <alignment horizontal="center" vertical="center" wrapText="1"/>
      <protection hidden="1"/>
    </xf>
    <xf numFmtId="0" fontId="28" fillId="31" borderId="50" xfId="0" applyFont="1" applyFill="1" applyBorder="1" applyAlignment="1" applyProtection="1">
      <alignment horizontal="center" vertical="center"/>
      <protection hidden="1"/>
    </xf>
    <xf numFmtId="181" fontId="28" fillId="31" borderId="80" xfId="0" applyNumberFormat="1" applyFont="1" applyFill="1" applyBorder="1" applyAlignment="1" applyProtection="1">
      <alignment horizontal="center" vertical="center"/>
      <protection hidden="1"/>
    </xf>
    <xf numFmtId="181" fontId="28" fillId="31" borderId="50" xfId="0" applyNumberFormat="1" applyFont="1" applyFill="1" applyBorder="1" applyAlignment="1" applyProtection="1">
      <alignment horizontal="center" vertical="center"/>
      <protection hidden="1"/>
    </xf>
    <xf numFmtId="0" fontId="28" fillId="27" borderId="26" xfId="0" applyFont="1" applyFill="1" applyBorder="1" applyAlignment="1" applyProtection="1">
      <alignment horizontal="center" vertical="center"/>
      <protection hidden="1"/>
    </xf>
    <xf numFmtId="0" fontId="28" fillId="27" borderId="50" xfId="0" applyFont="1" applyFill="1" applyBorder="1" applyAlignment="1" applyProtection="1">
      <alignment horizontal="center" vertical="center"/>
      <protection hidden="1"/>
    </xf>
    <xf numFmtId="0" fontId="28" fillId="27" borderId="27" xfId="0" applyFont="1" applyFill="1" applyBorder="1" applyAlignment="1" applyProtection="1">
      <alignment horizontal="center" vertical="center"/>
      <protection hidden="1"/>
    </xf>
    <xf numFmtId="0" fontId="6" fillId="27" borderId="11" xfId="0" applyFont="1" applyFill="1" applyBorder="1" applyAlignment="1">
      <alignment horizontal="center" vertical="center" wrapText="1"/>
    </xf>
    <xf numFmtId="0" fontId="6" fillId="27" borderId="177" xfId="0" applyFont="1" applyFill="1" applyBorder="1" applyAlignment="1" applyProtection="1">
      <alignment horizontal="center" vertical="center" wrapText="1"/>
      <protection hidden="1"/>
    </xf>
    <xf numFmtId="0" fontId="6" fillId="27" borderId="15" xfId="0" applyFont="1" applyFill="1" applyBorder="1" applyAlignment="1" applyProtection="1">
      <alignment horizontal="center" vertical="center" wrapText="1"/>
      <protection hidden="1"/>
    </xf>
    <xf numFmtId="0" fontId="6" fillId="27" borderId="167" xfId="0" applyFont="1" applyFill="1" applyBorder="1" applyAlignment="1" applyProtection="1">
      <alignment horizontal="center" vertical="center" wrapText="1"/>
      <protection hidden="1"/>
    </xf>
    <xf numFmtId="0" fontId="28" fillId="27" borderId="171" xfId="0" applyFont="1" applyFill="1" applyBorder="1" applyAlignment="1" applyProtection="1">
      <alignment horizontal="left" vertical="center" wrapText="1"/>
      <protection hidden="1"/>
    </xf>
    <xf numFmtId="0" fontId="28" fillId="27" borderId="170" xfId="0" applyFont="1" applyFill="1" applyBorder="1" applyAlignment="1" applyProtection="1">
      <alignment horizontal="left" vertical="center" wrapText="1"/>
      <protection hidden="1"/>
    </xf>
    <xf numFmtId="0" fontId="28" fillId="27" borderId="0" xfId="0" applyFont="1" applyFill="1" applyBorder="1" applyAlignment="1" applyProtection="1">
      <alignment horizontal="left" vertical="center" wrapText="1"/>
      <protection hidden="1"/>
    </xf>
    <xf numFmtId="0" fontId="28" fillId="27" borderId="17" xfId="0" applyFont="1" applyFill="1" applyBorder="1" applyAlignment="1" applyProtection="1">
      <alignment horizontal="left" vertical="center" wrapText="1"/>
      <protection hidden="1"/>
    </xf>
    <xf numFmtId="0" fontId="28" fillId="27" borderId="89" xfId="0" applyFont="1" applyFill="1" applyBorder="1" applyAlignment="1" applyProtection="1">
      <alignment horizontal="center" vertical="center" wrapText="1"/>
      <protection hidden="1"/>
    </xf>
    <xf numFmtId="0" fontId="6" fillId="0" borderId="54" xfId="0" applyFont="1" applyBorder="1">
      <alignment vertical="center"/>
    </xf>
    <xf numFmtId="0" fontId="6" fillId="0" borderId="86" xfId="0" applyFont="1" applyBorder="1">
      <alignment vertical="center"/>
    </xf>
    <xf numFmtId="0" fontId="6" fillId="0" borderId="195" xfId="0" applyFont="1" applyBorder="1">
      <alignment vertical="center"/>
    </xf>
    <xf numFmtId="0" fontId="28" fillId="27" borderId="201" xfId="0" applyFont="1" applyFill="1" applyBorder="1" applyAlignment="1" applyProtection="1">
      <alignment horizontal="left" vertical="center" wrapText="1"/>
      <protection hidden="1"/>
    </xf>
    <xf numFmtId="0" fontId="6" fillId="0" borderId="182" xfId="0" applyFont="1" applyBorder="1" applyAlignment="1">
      <alignment vertical="center"/>
    </xf>
    <xf numFmtId="0" fontId="28" fillId="27" borderId="62" xfId="0" applyFont="1" applyFill="1" applyBorder="1" applyAlignment="1" applyProtection="1">
      <alignment horizontal="left" vertical="center" wrapText="1"/>
      <protection hidden="1"/>
    </xf>
    <xf numFmtId="0" fontId="6" fillId="0" borderId="17" xfId="0" applyFont="1" applyBorder="1" applyAlignment="1">
      <alignment vertical="center"/>
    </xf>
    <xf numFmtId="0" fontId="6" fillId="0" borderId="62" xfId="0" applyFont="1" applyBorder="1" applyAlignment="1">
      <alignment vertical="center"/>
    </xf>
    <xf numFmtId="0" fontId="6" fillId="0" borderId="86" xfId="0" applyFont="1" applyBorder="1" applyAlignment="1">
      <alignment vertical="center"/>
    </xf>
    <xf numFmtId="0" fontId="6" fillId="0" borderId="195" xfId="0" applyFont="1" applyBorder="1" applyAlignment="1">
      <alignment vertical="center"/>
    </xf>
    <xf numFmtId="206" fontId="23" fillId="31" borderId="188" xfId="0" applyNumberFormat="1" applyFont="1" applyFill="1" applyBorder="1" applyAlignment="1" applyProtection="1">
      <alignment horizontal="center" vertical="center"/>
      <protection locked="0" hidden="1"/>
    </xf>
    <xf numFmtId="206" fontId="23" fillId="31" borderId="96" xfId="0" applyNumberFormat="1" applyFont="1" applyFill="1" applyBorder="1" applyAlignment="1" applyProtection="1">
      <alignment horizontal="center" vertical="center"/>
      <protection locked="0" hidden="1"/>
    </xf>
    <xf numFmtId="0" fontId="28" fillId="27" borderId="12" xfId="0" applyNumberFormat="1" applyFont="1" applyFill="1" applyBorder="1" applyAlignment="1" applyProtection="1">
      <alignment horizontal="left" vertical="center" wrapText="1"/>
      <protection hidden="1"/>
    </xf>
    <xf numFmtId="0" fontId="28" fillId="27" borderId="14" xfId="0" applyNumberFormat="1" applyFont="1" applyFill="1" applyBorder="1" applyAlignment="1" applyProtection="1">
      <alignment horizontal="left" vertical="center" wrapText="1"/>
      <protection hidden="1"/>
    </xf>
    <xf numFmtId="0" fontId="28" fillId="27" borderId="181" xfId="0" applyFont="1" applyFill="1" applyBorder="1" applyAlignment="1" applyProtection="1">
      <alignment vertical="center" wrapText="1"/>
      <protection hidden="1"/>
    </xf>
    <xf numFmtId="0" fontId="28" fillId="27" borderId="57" xfId="0" applyFont="1" applyFill="1" applyBorder="1" applyAlignment="1" applyProtection="1">
      <alignment vertical="center" wrapText="1"/>
      <protection hidden="1"/>
    </xf>
    <xf numFmtId="0" fontId="6" fillId="27" borderId="182" xfId="0" quotePrefix="1" applyFont="1" applyFill="1" applyBorder="1" applyAlignment="1" applyProtection="1">
      <alignment horizontal="center" vertical="center" wrapText="1"/>
      <protection hidden="1"/>
    </xf>
    <xf numFmtId="0" fontId="6" fillId="27" borderId="58" xfId="0" quotePrefix="1" applyFont="1" applyFill="1" applyBorder="1" applyAlignment="1" applyProtection="1">
      <alignment horizontal="center" vertical="center" wrapText="1"/>
      <protection hidden="1"/>
    </xf>
    <xf numFmtId="0" fontId="28" fillId="27" borderId="56" xfId="0" applyFont="1" applyFill="1" applyBorder="1" applyAlignment="1" applyProtection="1">
      <alignment horizontal="left" vertical="center" wrapText="1"/>
      <protection locked="0"/>
    </xf>
    <xf numFmtId="0" fontId="28" fillId="27" borderId="57" xfId="0" applyFont="1" applyFill="1" applyBorder="1" applyAlignment="1" applyProtection="1">
      <alignment horizontal="left" vertical="center" wrapText="1"/>
      <protection locked="0"/>
    </xf>
    <xf numFmtId="0" fontId="28" fillId="27" borderId="58" xfId="0" applyFont="1" applyFill="1" applyBorder="1" applyAlignment="1" applyProtection="1">
      <alignment horizontal="left" vertical="center" wrapText="1"/>
      <protection locked="0"/>
    </xf>
    <xf numFmtId="0" fontId="28" fillId="27" borderId="164" xfId="0" applyNumberFormat="1" applyFont="1" applyFill="1" applyBorder="1" applyAlignment="1" applyProtection="1">
      <alignment horizontal="left" vertical="center" wrapText="1"/>
      <protection hidden="1"/>
    </xf>
    <xf numFmtId="0" fontId="28" fillId="27" borderId="165" xfId="0" applyNumberFormat="1" applyFont="1" applyFill="1" applyBorder="1" applyAlignment="1" applyProtection="1">
      <alignment horizontal="left" vertical="center" wrapText="1"/>
      <protection hidden="1"/>
    </xf>
    <xf numFmtId="0" fontId="28" fillId="27" borderId="166" xfId="0" applyNumberFormat="1" applyFont="1" applyFill="1" applyBorder="1" applyAlignment="1" applyProtection="1">
      <alignment horizontal="left" vertical="center" wrapText="1"/>
      <protection hidden="1"/>
    </xf>
    <xf numFmtId="0" fontId="28" fillId="27" borderId="13" xfId="0" applyNumberFormat="1" applyFont="1" applyFill="1" applyBorder="1" applyAlignment="1" applyProtection="1">
      <alignment horizontal="left" vertical="center" wrapText="1"/>
      <protection hidden="1"/>
    </xf>
    <xf numFmtId="0" fontId="28" fillId="27" borderId="169" xfId="0" applyNumberFormat="1" applyFont="1" applyFill="1" applyBorder="1" applyAlignment="1" applyProtection="1">
      <alignment horizontal="left" vertical="center" wrapText="1"/>
      <protection hidden="1"/>
    </xf>
    <xf numFmtId="0" fontId="28" fillId="27" borderId="171" xfId="0" applyNumberFormat="1" applyFont="1" applyFill="1" applyBorder="1" applyAlignment="1" applyProtection="1">
      <alignment horizontal="left" vertical="center" wrapText="1"/>
      <protection hidden="1"/>
    </xf>
    <xf numFmtId="0" fontId="28" fillId="27" borderId="170" xfId="0" applyNumberFormat="1" applyFont="1" applyFill="1" applyBorder="1" applyAlignment="1" applyProtection="1">
      <alignment horizontal="left" vertical="center" wrapText="1"/>
      <protection hidden="1"/>
    </xf>
    <xf numFmtId="0" fontId="28" fillId="27" borderId="166" xfId="0" applyNumberFormat="1" applyFont="1" applyFill="1" applyBorder="1" applyAlignment="1" applyProtection="1">
      <alignment vertical="center" wrapText="1"/>
      <protection hidden="1"/>
    </xf>
    <xf numFmtId="0" fontId="28" fillId="27" borderId="12" xfId="0" applyNumberFormat="1" applyFont="1" applyFill="1" applyBorder="1" applyAlignment="1" applyProtection="1">
      <alignment vertical="center" wrapText="1"/>
      <protection hidden="1"/>
    </xf>
    <xf numFmtId="0" fontId="28" fillId="27" borderId="13" xfId="0" applyNumberFormat="1" applyFont="1" applyFill="1" applyBorder="1" applyAlignment="1" applyProtection="1">
      <alignment vertical="center"/>
      <protection hidden="1"/>
    </xf>
    <xf numFmtId="0" fontId="28" fillId="27" borderId="14" xfId="0" applyNumberFormat="1" applyFont="1" applyFill="1" applyBorder="1" applyAlignment="1" applyProtection="1">
      <alignment vertical="center"/>
      <protection hidden="1"/>
    </xf>
    <xf numFmtId="0" fontId="26" fillId="27" borderId="57" xfId="0" applyNumberFormat="1" applyFont="1" applyFill="1" applyBorder="1" applyAlignment="1" applyProtection="1">
      <alignment horizontal="center" vertical="center" wrapText="1"/>
      <protection hidden="1"/>
    </xf>
    <xf numFmtId="0" fontId="28" fillId="27" borderId="80" xfId="0" applyNumberFormat="1" applyFont="1" applyFill="1" applyBorder="1" applyAlignment="1" applyProtection="1">
      <alignment horizontal="center" vertical="center" wrapText="1"/>
      <protection hidden="1"/>
    </xf>
    <xf numFmtId="0" fontId="28" fillId="27" borderId="27" xfId="0" applyNumberFormat="1" applyFont="1" applyFill="1" applyBorder="1" applyAlignment="1" applyProtection="1">
      <alignment horizontal="center" vertical="center" wrapText="1"/>
      <protection hidden="1"/>
    </xf>
    <xf numFmtId="0" fontId="28" fillId="31" borderId="50" xfId="0" applyNumberFormat="1" applyFont="1" applyFill="1" applyBorder="1" applyAlignment="1" applyProtection="1">
      <alignment horizontal="center" vertical="center"/>
      <protection hidden="1"/>
    </xf>
    <xf numFmtId="0" fontId="28" fillId="31" borderId="80" xfId="0" applyNumberFormat="1" applyFont="1" applyFill="1" applyBorder="1" applyAlignment="1" applyProtection="1">
      <alignment horizontal="center" vertical="center"/>
      <protection hidden="1"/>
    </xf>
    <xf numFmtId="0" fontId="28" fillId="31" borderId="27" xfId="0" applyNumberFormat="1" applyFont="1" applyFill="1" applyBorder="1" applyAlignment="1" applyProtection="1">
      <alignment horizontal="center" vertical="center"/>
      <protection hidden="1"/>
    </xf>
    <xf numFmtId="0" fontId="6" fillId="27" borderId="177" xfId="0" applyFont="1" applyFill="1" applyBorder="1" applyAlignment="1" applyProtection="1">
      <alignment horizontal="center" vertical="center"/>
      <protection hidden="1"/>
    </xf>
    <xf numFmtId="0" fontId="6" fillId="27" borderId="55" xfId="0" applyFont="1" applyFill="1" applyBorder="1" applyAlignment="1" applyProtection="1">
      <alignment horizontal="center" vertical="center"/>
      <protection hidden="1"/>
    </xf>
    <xf numFmtId="0" fontId="28" fillId="0" borderId="13" xfId="0" applyNumberFormat="1" applyFont="1" applyBorder="1" applyAlignment="1" applyProtection="1">
      <alignment horizontal="left" vertical="center" wrapText="1"/>
      <protection hidden="1"/>
    </xf>
    <xf numFmtId="0" fontId="28" fillId="0" borderId="14" xfId="0" applyNumberFormat="1" applyFont="1" applyBorder="1" applyAlignment="1" applyProtection="1">
      <alignment horizontal="left" vertical="center" wrapText="1"/>
      <protection hidden="1"/>
    </xf>
    <xf numFmtId="176" fontId="6" fillId="27" borderId="177" xfId="0" applyNumberFormat="1" applyFont="1" applyFill="1" applyBorder="1" applyAlignment="1" applyProtection="1">
      <alignment horizontal="center" vertical="center" wrapText="1"/>
      <protection hidden="1"/>
    </xf>
    <xf numFmtId="176" fontId="6" fillId="27" borderId="15" xfId="0" applyNumberFormat="1" applyFont="1" applyFill="1" applyBorder="1" applyAlignment="1" applyProtection="1">
      <alignment horizontal="center" vertical="center" wrapText="1"/>
      <protection hidden="1"/>
    </xf>
    <xf numFmtId="176" fontId="6" fillId="27" borderId="167" xfId="0" applyNumberFormat="1" applyFont="1" applyFill="1" applyBorder="1" applyAlignment="1" applyProtection="1">
      <alignment horizontal="center" vertical="center" wrapText="1"/>
      <protection hidden="1"/>
    </xf>
    <xf numFmtId="0" fontId="28" fillId="27" borderId="185" xfId="0" applyNumberFormat="1" applyFont="1" applyFill="1" applyBorder="1" applyAlignment="1" applyProtection="1">
      <alignment horizontal="center" vertical="center" wrapText="1"/>
      <protection hidden="1"/>
    </xf>
    <xf numFmtId="0" fontId="28" fillId="0" borderId="14" xfId="0" applyNumberFormat="1" applyFont="1" applyBorder="1" applyAlignment="1" applyProtection="1">
      <alignment horizontal="center" vertical="center" wrapText="1"/>
      <protection hidden="1"/>
    </xf>
    <xf numFmtId="0" fontId="28" fillId="27" borderId="176" xfId="0" applyNumberFormat="1" applyFont="1" applyFill="1" applyBorder="1" applyAlignment="1" applyProtection="1">
      <alignment horizontal="left" vertical="center" wrapText="1"/>
      <protection hidden="1"/>
    </xf>
    <xf numFmtId="0" fontId="28" fillId="27" borderId="182" xfId="0" applyNumberFormat="1" applyFont="1" applyFill="1" applyBorder="1" applyAlignment="1" applyProtection="1">
      <alignment horizontal="left" vertical="center" wrapText="1"/>
      <protection hidden="1"/>
    </xf>
    <xf numFmtId="0" fontId="28" fillId="27" borderId="26" xfId="0" applyNumberFormat="1" applyFont="1" applyFill="1" applyBorder="1" applyAlignment="1" applyProtection="1">
      <alignment horizontal="center" vertical="center" wrapText="1"/>
      <protection hidden="1"/>
    </xf>
    <xf numFmtId="181" fontId="28" fillId="31" borderId="58" xfId="0" applyNumberFormat="1" applyFont="1" applyFill="1" applyBorder="1" applyAlignment="1" applyProtection="1">
      <alignment horizontal="center" vertical="center"/>
      <protection hidden="1"/>
    </xf>
    <xf numFmtId="181" fontId="28" fillId="31" borderId="55" xfId="0" applyNumberFormat="1" applyFont="1" applyFill="1" applyBorder="1" applyAlignment="1" applyProtection="1">
      <alignment horizontal="center" vertical="center"/>
      <protection hidden="1"/>
    </xf>
    <xf numFmtId="0" fontId="6" fillId="0" borderId="166" xfId="0" applyFont="1" applyBorder="1" applyAlignment="1">
      <alignment vertical="center" wrapText="1"/>
    </xf>
    <xf numFmtId="0" fontId="6" fillId="0" borderId="14" xfId="0" applyFont="1" applyBorder="1">
      <alignment vertical="center"/>
    </xf>
    <xf numFmtId="0" fontId="6" fillId="27" borderId="177" xfId="0" quotePrefix="1" applyFont="1" applyFill="1" applyBorder="1" applyAlignment="1" applyProtection="1">
      <alignment horizontal="center" vertical="center" wrapText="1"/>
      <protection hidden="1"/>
    </xf>
    <xf numFmtId="0" fontId="6" fillId="27" borderId="15" xfId="0" quotePrefix="1" applyFont="1" applyFill="1" applyBorder="1" applyAlignment="1" applyProtection="1">
      <alignment horizontal="center" vertical="center" wrapText="1"/>
      <protection hidden="1"/>
    </xf>
    <xf numFmtId="0" fontId="6" fillId="27" borderId="167" xfId="0" quotePrefix="1" applyFont="1" applyFill="1" applyBorder="1" applyAlignment="1" applyProtection="1">
      <alignment horizontal="center" vertical="center" wrapText="1"/>
      <protection hidden="1"/>
    </xf>
    <xf numFmtId="0" fontId="28" fillId="27" borderId="165" xfId="0" applyFont="1" applyFill="1" applyBorder="1" applyAlignment="1">
      <alignment vertical="center" wrapText="1"/>
    </xf>
    <xf numFmtId="0" fontId="28" fillId="27" borderId="166" xfId="0" applyFont="1" applyFill="1" applyBorder="1" applyAlignment="1">
      <alignment vertical="center" wrapText="1"/>
    </xf>
    <xf numFmtId="0" fontId="28" fillId="27" borderId="201" xfId="0" applyFont="1" applyFill="1" applyBorder="1" applyAlignment="1">
      <alignment vertical="center"/>
    </xf>
    <xf numFmtId="0" fontId="28" fillId="27" borderId="182" xfId="0" applyFont="1" applyFill="1" applyBorder="1" applyAlignment="1">
      <alignment vertical="center"/>
    </xf>
    <xf numFmtId="0" fontId="28" fillId="27" borderId="62" xfId="0" applyFont="1" applyFill="1" applyBorder="1" applyAlignment="1">
      <alignment vertical="center"/>
    </xf>
    <xf numFmtId="0" fontId="28" fillId="27" borderId="17" xfId="0" applyFont="1" applyFill="1" applyBorder="1" applyAlignment="1">
      <alignment vertical="center"/>
    </xf>
    <xf numFmtId="0" fontId="28" fillId="27" borderId="86" xfId="0" applyFont="1" applyFill="1" applyBorder="1" applyAlignment="1">
      <alignment vertical="center"/>
    </xf>
    <xf numFmtId="0" fontId="28" fillId="27" borderId="195" xfId="0" applyFont="1" applyFill="1" applyBorder="1" applyAlignment="1">
      <alignment vertical="center"/>
    </xf>
    <xf numFmtId="0" fontId="6" fillId="0" borderId="100" xfId="0" applyFont="1" applyBorder="1" applyAlignment="1" applyProtection="1">
      <alignment vertical="center"/>
      <protection locked="0"/>
    </xf>
    <xf numFmtId="0" fontId="6" fillId="0" borderId="216" xfId="0" applyFont="1" applyBorder="1" applyAlignment="1" applyProtection="1">
      <alignment vertical="center"/>
      <protection locked="0"/>
    </xf>
    <xf numFmtId="0" fontId="28" fillId="27" borderId="51" xfId="0" quotePrefix="1" applyNumberFormat="1" applyFont="1" applyFill="1" applyBorder="1" applyAlignment="1" applyProtection="1">
      <alignment horizontal="left" vertical="center" wrapText="1"/>
      <protection hidden="1"/>
    </xf>
    <xf numFmtId="0" fontId="28" fillId="27" borderId="15" xfId="0" quotePrefix="1" applyNumberFormat="1" applyFont="1" applyFill="1" applyBorder="1" applyAlignment="1" applyProtection="1">
      <alignment horizontal="left" vertical="center" wrapText="1"/>
      <protection hidden="1"/>
    </xf>
    <xf numFmtId="201" fontId="26" fillId="31" borderId="51" xfId="0" applyNumberFormat="1" applyFont="1" applyFill="1" applyBorder="1" applyAlignment="1" applyProtection="1">
      <alignment horizontal="center" vertical="center"/>
      <protection hidden="1"/>
    </xf>
    <xf numFmtId="201" fontId="26" fillId="31" borderId="55" xfId="0" applyNumberFormat="1" applyFont="1" applyFill="1" applyBorder="1" applyAlignment="1" applyProtection="1">
      <alignment horizontal="center" vertical="center"/>
      <protection hidden="1"/>
    </xf>
    <xf numFmtId="199" fontId="26" fillId="31" borderId="51" xfId="0" applyNumberFormat="1" applyFont="1" applyFill="1" applyBorder="1" applyAlignment="1" applyProtection="1">
      <alignment horizontal="center" vertical="center"/>
      <protection hidden="1"/>
    </xf>
    <xf numFmtId="199" fontId="26" fillId="31" borderId="55" xfId="0" applyNumberFormat="1" applyFont="1" applyFill="1" applyBorder="1" applyAlignment="1" applyProtection="1">
      <alignment horizontal="center" vertical="center"/>
      <protection hidden="1"/>
    </xf>
    <xf numFmtId="0" fontId="164" fillId="38" borderId="14" xfId="0" applyFont="1" applyFill="1" applyBorder="1" applyAlignment="1">
      <alignment horizontal="left" vertical="center" wrapText="1"/>
    </xf>
    <xf numFmtId="0" fontId="28" fillId="27" borderId="52" xfId="0" quotePrefix="1" applyNumberFormat="1" applyFont="1" applyFill="1" applyBorder="1" applyAlignment="1" applyProtection="1">
      <alignment horizontal="left" vertical="center" wrapText="1"/>
      <protection hidden="1"/>
    </xf>
    <xf numFmtId="0" fontId="28" fillId="27" borderId="54" xfId="0" quotePrefix="1" applyNumberFormat="1" applyFont="1" applyFill="1" applyBorder="1" applyAlignment="1" applyProtection="1">
      <alignment horizontal="left" vertical="center" wrapText="1"/>
      <protection hidden="1"/>
    </xf>
    <xf numFmtId="0" fontId="28" fillId="27" borderId="64" xfId="0" quotePrefix="1" applyNumberFormat="1" applyFont="1" applyFill="1" applyBorder="1" applyAlignment="1" applyProtection="1">
      <alignment horizontal="left" vertical="center" wrapText="1"/>
      <protection hidden="1"/>
    </xf>
    <xf numFmtId="0" fontId="28" fillId="27" borderId="17" xfId="0" quotePrefix="1" applyNumberFormat="1" applyFont="1" applyFill="1" applyBorder="1" applyAlignment="1" applyProtection="1">
      <alignment horizontal="left" vertical="center" wrapText="1"/>
      <protection hidden="1"/>
    </xf>
    <xf numFmtId="0" fontId="28" fillId="27" borderId="56" xfId="0" quotePrefix="1" applyNumberFormat="1" applyFont="1" applyFill="1" applyBorder="1" applyAlignment="1" applyProtection="1">
      <alignment horizontal="left" vertical="center" wrapText="1"/>
      <protection hidden="1"/>
    </xf>
    <xf numFmtId="0" fontId="28" fillId="27" borderId="58" xfId="0" quotePrefix="1" applyNumberFormat="1" applyFont="1" applyFill="1" applyBorder="1" applyAlignment="1" applyProtection="1">
      <alignment horizontal="left" vertical="center" wrapText="1"/>
      <protection hidden="1"/>
    </xf>
    <xf numFmtId="0" fontId="0" fillId="0" borderId="13" xfId="0" applyBorder="1" applyAlignment="1">
      <alignment horizontal="left" vertical="center" wrapText="1"/>
    </xf>
    <xf numFmtId="0" fontId="0" fillId="0" borderId="14" xfId="0" applyBorder="1" applyAlignment="1">
      <alignment horizontal="left" vertical="center" wrapText="1"/>
    </xf>
    <xf numFmtId="181" fontId="28" fillId="31" borderId="26" xfId="0" applyNumberFormat="1" applyFont="1" applyFill="1" applyBorder="1" applyAlignment="1" applyProtection="1">
      <alignment horizontal="left" vertical="center" wrapText="1"/>
      <protection hidden="1"/>
    </xf>
    <xf numFmtId="0" fontId="164" fillId="0" borderId="27" xfId="0" applyFont="1" applyBorder="1" applyAlignment="1">
      <alignment horizontal="left" vertical="center" wrapText="1"/>
    </xf>
    <xf numFmtId="0" fontId="164" fillId="0" borderId="165" xfId="0" applyFont="1" applyBorder="1" applyAlignment="1">
      <alignment horizontal="left" vertical="center" wrapText="1"/>
    </xf>
    <xf numFmtId="0" fontId="164" fillId="0" borderId="166" xfId="0" applyFont="1" applyBorder="1" applyAlignment="1">
      <alignment horizontal="left" vertical="center" wrapText="1"/>
    </xf>
    <xf numFmtId="0" fontId="164" fillId="0" borderId="13" xfId="0" applyFont="1" applyBorder="1" applyAlignment="1">
      <alignment horizontal="left" vertical="center" wrapText="1"/>
    </xf>
    <xf numFmtId="0" fontId="164" fillId="0" borderId="14" xfId="0" applyFont="1" applyBorder="1" applyAlignment="1">
      <alignment horizontal="left" vertical="center" wrapText="1"/>
    </xf>
    <xf numFmtId="181" fontId="28" fillId="27" borderId="12" xfId="0" applyNumberFormat="1" applyFont="1" applyFill="1" applyBorder="1" applyAlignment="1" applyProtection="1">
      <alignment horizontal="left" vertical="top" wrapText="1"/>
      <protection hidden="1"/>
    </xf>
    <xf numFmtId="181" fontId="28" fillId="27" borderId="13" xfId="0" applyNumberFormat="1" applyFont="1" applyFill="1" applyBorder="1" applyAlignment="1" applyProtection="1">
      <alignment horizontal="left" vertical="top" wrapText="1"/>
      <protection hidden="1"/>
    </xf>
    <xf numFmtId="181" fontId="28" fillId="27" borderId="14" xfId="0" applyNumberFormat="1" applyFont="1" applyFill="1" applyBorder="1" applyAlignment="1" applyProtection="1">
      <alignment horizontal="left" vertical="top" wrapText="1"/>
      <protection hidden="1"/>
    </xf>
    <xf numFmtId="0" fontId="28" fillId="0" borderId="0" xfId="0" applyNumberFormat="1" applyFont="1" applyFill="1" applyAlignment="1" applyProtection="1">
      <alignment horizontal="center" vertical="center" shrinkToFit="1"/>
      <protection hidden="1"/>
    </xf>
    <xf numFmtId="0" fontId="28" fillId="0" borderId="63" xfId="0" applyNumberFormat="1" applyFont="1" applyFill="1" applyBorder="1" applyAlignment="1" applyProtection="1">
      <alignment horizontal="center" vertical="center" shrinkToFit="1"/>
      <protection hidden="1"/>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164" fillId="0" borderId="54" xfId="0" applyFont="1" applyBorder="1" applyAlignment="1">
      <alignment horizontal="left" vertical="center" wrapText="1"/>
    </xf>
    <xf numFmtId="0" fontId="164" fillId="0" borderId="64" xfId="0" applyFont="1" applyBorder="1" applyAlignment="1">
      <alignment horizontal="left" vertical="center" wrapText="1"/>
    </xf>
    <xf numFmtId="0" fontId="164" fillId="0" borderId="17" xfId="0" applyFont="1" applyBorder="1" applyAlignment="1">
      <alignment horizontal="left" vertical="center" wrapText="1"/>
    </xf>
    <xf numFmtId="0" fontId="164" fillId="0" borderId="56" xfId="0" applyFont="1" applyBorder="1" applyAlignment="1">
      <alignment horizontal="left" vertical="center" wrapText="1"/>
    </xf>
    <xf numFmtId="0" fontId="164" fillId="0" borderId="58" xfId="0" applyFont="1" applyBorder="1" applyAlignment="1">
      <alignment horizontal="left" vertical="center" wrapText="1"/>
    </xf>
    <xf numFmtId="0" fontId="28" fillId="27" borderId="10" xfId="0" applyFont="1" applyFill="1" applyBorder="1" applyAlignment="1">
      <alignment horizontal="center" vertical="center" wrapText="1"/>
    </xf>
    <xf numFmtId="0" fontId="164" fillId="0" borderId="13" xfId="0" applyFont="1" applyBorder="1" applyAlignment="1">
      <alignment vertical="center" wrapText="1"/>
    </xf>
    <xf numFmtId="0" fontId="164" fillId="0" borderId="14" xfId="0" applyFont="1" applyBorder="1" applyAlignment="1">
      <alignment vertical="center" wrapText="1"/>
    </xf>
    <xf numFmtId="0" fontId="28" fillId="0" borderId="13" xfId="0" applyNumberFormat="1" applyFont="1" applyBorder="1" applyAlignment="1" applyProtection="1">
      <alignment vertical="center" wrapText="1"/>
      <protection hidden="1"/>
    </xf>
    <xf numFmtId="0" fontId="28" fillId="0" borderId="14" xfId="0" applyNumberFormat="1" applyFont="1" applyBorder="1" applyAlignment="1" applyProtection="1">
      <alignment vertical="center" wrapText="1"/>
      <protection hidden="1"/>
    </xf>
    <xf numFmtId="0" fontId="28" fillId="0" borderId="13" xfId="0" applyNumberFormat="1" applyFont="1" applyBorder="1" applyAlignment="1" applyProtection="1">
      <alignment vertical="center"/>
      <protection hidden="1"/>
    </xf>
    <xf numFmtId="0" fontId="28" fillId="0" borderId="14" xfId="0" applyNumberFormat="1" applyFont="1" applyBorder="1" applyAlignment="1" applyProtection="1">
      <alignment vertical="center"/>
      <protection hidden="1"/>
    </xf>
    <xf numFmtId="0" fontId="28" fillId="31" borderId="26" xfId="0" applyFont="1" applyFill="1" applyBorder="1" applyAlignment="1" applyProtection="1">
      <alignment horizontal="center" vertical="center" wrapText="1"/>
      <protection hidden="1"/>
    </xf>
    <xf numFmtId="0" fontId="28" fillId="31" borderId="50" xfId="0" applyFont="1" applyFill="1" applyBorder="1" applyAlignment="1" applyProtection="1">
      <alignment horizontal="center" vertical="center" wrapText="1"/>
      <protection hidden="1"/>
    </xf>
    <xf numFmtId="0" fontId="28" fillId="31" borderId="27" xfId="0" applyFont="1" applyFill="1" applyBorder="1" applyAlignment="1" applyProtection="1">
      <alignment horizontal="center" vertical="center" wrapText="1"/>
      <protection hidden="1"/>
    </xf>
    <xf numFmtId="181" fontId="28" fillId="27" borderId="170" xfId="0" applyNumberFormat="1" applyFont="1" applyFill="1" applyBorder="1" applyAlignment="1" applyProtection="1">
      <alignment horizontal="left" vertical="center"/>
      <protection hidden="1"/>
    </xf>
    <xf numFmtId="0" fontId="164" fillId="0" borderId="171" xfId="0" applyFont="1" applyBorder="1" applyAlignment="1">
      <alignment horizontal="left" vertical="center" wrapText="1"/>
    </xf>
    <xf numFmtId="0" fontId="164" fillId="0" borderId="170" xfId="0" applyFont="1" applyBorder="1" applyAlignment="1">
      <alignment horizontal="left" vertical="center" wrapText="1"/>
    </xf>
    <xf numFmtId="0" fontId="28" fillId="27" borderId="26" xfId="0" applyFont="1" applyFill="1" applyBorder="1" applyAlignment="1">
      <alignment horizontal="center" vertical="center" wrapText="1"/>
    </xf>
    <xf numFmtId="0" fontId="28" fillId="27" borderId="27" xfId="0" applyFont="1" applyFill="1" applyBorder="1" applyAlignment="1">
      <alignment horizontal="center" vertical="center" wrapText="1"/>
    </xf>
    <xf numFmtId="0" fontId="28" fillId="27" borderId="51" xfId="0" applyFont="1" applyFill="1" applyBorder="1" applyAlignment="1">
      <alignment horizontal="center" vertical="center" wrapText="1"/>
    </xf>
    <xf numFmtId="0" fontId="28" fillId="27" borderId="15" xfId="0" applyFont="1" applyFill="1" applyBorder="1" applyAlignment="1">
      <alignment horizontal="center" vertical="center" wrapText="1"/>
    </xf>
    <xf numFmtId="0" fontId="164" fillId="0" borderId="55" xfId="0" applyFont="1" applyBorder="1" applyAlignment="1">
      <alignment horizontal="center" vertical="center" wrapText="1"/>
    </xf>
    <xf numFmtId="0" fontId="164" fillId="0" borderId="10" xfId="0" applyFont="1" applyBorder="1" applyAlignment="1">
      <alignment horizontal="center" vertical="center" wrapText="1"/>
    </xf>
    <xf numFmtId="0" fontId="28" fillId="27" borderId="0" xfId="0" applyFont="1" applyFill="1" applyBorder="1" applyAlignment="1" applyProtection="1">
      <alignment horizontal="left" vertical="top" wrapText="1"/>
    </xf>
    <xf numFmtId="0" fontId="37" fillId="27" borderId="0" xfId="0" applyFont="1" applyFill="1" applyBorder="1" applyAlignment="1" applyProtection="1">
      <alignment horizontal="left" vertical="top" wrapText="1"/>
    </xf>
    <xf numFmtId="0" fontId="33" fillId="27" borderId="0" xfId="0" applyFont="1" applyFill="1" applyBorder="1" applyAlignment="1" applyProtection="1">
      <alignment horizontal="left" vertical="center" wrapText="1"/>
    </xf>
    <xf numFmtId="203" fontId="125" fillId="39" borderId="68" xfId="0" applyNumberFormat="1" applyFont="1" applyFill="1" applyBorder="1" applyAlignment="1" applyProtection="1">
      <alignment horizontal="center" vertical="center"/>
      <protection locked="0"/>
    </xf>
    <xf numFmtId="203" fontId="125" fillId="39" borderId="69" xfId="0" applyNumberFormat="1" applyFont="1" applyFill="1" applyBorder="1" applyAlignment="1" applyProtection="1">
      <alignment horizontal="center" vertical="center"/>
      <protection locked="0"/>
    </xf>
    <xf numFmtId="203" fontId="125" fillId="39" borderId="71" xfId="0" applyNumberFormat="1" applyFont="1" applyFill="1" applyBorder="1" applyAlignment="1" applyProtection="1">
      <alignment horizontal="center" vertical="center"/>
      <protection locked="0"/>
    </xf>
    <xf numFmtId="0" fontId="6" fillId="0" borderId="165" xfId="0" applyFont="1" applyBorder="1" applyAlignment="1">
      <alignment horizontal="left" vertical="center" wrapText="1"/>
    </xf>
    <xf numFmtId="0" fontId="6" fillId="0" borderId="166" xfId="0" applyFont="1" applyBorder="1" applyAlignment="1">
      <alignment horizontal="left" vertical="center" wrapText="1"/>
    </xf>
    <xf numFmtId="181" fontId="28" fillId="27" borderId="51" xfId="0" applyNumberFormat="1" applyFont="1" applyFill="1" applyBorder="1" applyAlignment="1" applyProtection="1">
      <alignment horizontal="left" vertical="center" wrapText="1"/>
      <protection hidden="1"/>
    </xf>
    <xf numFmtId="0" fontId="6" fillId="0" borderId="15" xfId="0" applyFont="1" applyBorder="1" applyAlignment="1">
      <alignment horizontal="left" vertical="center" wrapText="1"/>
    </xf>
    <xf numFmtId="0" fontId="6" fillId="0" borderId="55" xfId="0" applyFont="1" applyBorder="1" applyAlignment="1">
      <alignment horizontal="left" vertical="center" wrapText="1"/>
    </xf>
    <xf numFmtId="0" fontId="164" fillId="48" borderId="14" xfId="0" applyFont="1" applyFill="1" applyBorder="1" applyAlignment="1">
      <alignment horizontal="left" vertical="center" wrapText="1"/>
    </xf>
    <xf numFmtId="0" fontId="164" fillId="48" borderId="170" xfId="0" applyFont="1" applyFill="1" applyBorder="1" applyAlignment="1">
      <alignment horizontal="left" vertical="center" wrapText="1"/>
    </xf>
    <xf numFmtId="0" fontId="28" fillId="27" borderId="26" xfId="0" applyNumberFormat="1" applyFont="1" applyFill="1" applyBorder="1" applyAlignment="1" applyProtection="1">
      <alignment horizontal="left" vertical="center"/>
      <protection locked="0" hidden="1"/>
    </xf>
    <xf numFmtId="0" fontId="28" fillId="27" borderId="50" xfId="0" applyNumberFormat="1" applyFont="1" applyFill="1" applyBorder="1" applyAlignment="1" applyProtection="1">
      <alignment horizontal="left" vertical="center"/>
      <protection locked="0" hidden="1"/>
    </xf>
    <xf numFmtId="0" fontId="28" fillId="27" borderId="27" xfId="0" applyNumberFormat="1" applyFont="1" applyFill="1" applyBorder="1" applyAlignment="1" applyProtection="1">
      <alignment horizontal="left" vertical="center"/>
      <protection locked="0" hidden="1"/>
    </xf>
    <xf numFmtId="0" fontId="28" fillId="27" borderId="51" xfId="0" applyFont="1" applyFill="1" applyBorder="1" applyAlignment="1" applyProtection="1">
      <alignment horizontal="center" vertical="center" wrapText="1"/>
      <protection hidden="1"/>
    </xf>
    <xf numFmtId="0" fontId="28" fillId="27" borderId="55" xfId="0" applyFont="1" applyFill="1" applyBorder="1" applyAlignment="1" applyProtection="1">
      <alignment horizontal="center" vertical="center" wrapText="1"/>
      <protection hidden="1"/>
    </xf>
    <xf numFmtId="181" fontId="28" fillId="27" borderId="169" xfId="0" applyNumberFormat="1" applyFont="1" applyFill="1" applyBorder="1" applyAlignment="1" applyProtection="1">
      <alignment vertical="center"/>
      <protection hidden="1"/>
    </xf>
    <xf numFmtId="181" fontId="28" fillId="27" borderId="171" xfId="0" applyNumberFormat="1" applyFont="1" applyFill="1" applyBorder="1" applyAlignment="1" applyProtection="1">
      <alignment vertical="center"/>
      <protection hidden="1"/>
    </xf>
    <xf numFmtId="181" fontId="28" fillId="27" borderId="170" xfId="0" applyNumberFormat="1" applyFont="1" applyFill="1" applyBorder="1" applyAlignment="1" applyProtection="1">
      <alignment vertical="center"/>
      <protection hidden="1"/>
    </xf>
    <xf numFmtId="181" fontId="28" fillId="27" borderId="12" xfId="0" applyNumberFormat="1" applyFont="1" applyFill="1" applyBorder="1" applyAlignment="1" applyProtection="1">
      <alignment vertical="center"/>
      <protection hidden="1"/>
    </xf>
    <xf numFmtId="181" fontId="28" fillId="27" borderId="13" xfId="0" applyNumberFormat="1" applyFont="1" applyFill="1" applyBorder="1" applyAlignment="1" applyProtection="1">
      <alignment vertical="center"/>
      <protection hidden="1"/>
    </xf>
    <xf numFmtId="181" fontId="28" fillId="27" borderId="14" xfId="0" applyNumberFormat="1" applyFont="1" applyFill="1" applyBorder="1" applyAlignment="1" applyProtection="1">
      <alignment vertical="center"/>
      <protection hidden="1"/>
    </xf>
    <xf numFmtId="181" fontId="28" fillId="27" borderId="164" xfId="0" applyNumberFormat="1" applyFont="1" applyFill="1" applyBorder="1" applyAlignment="1" applyProtection="1">
      <alignment vertical="center"/>
      <protection hidden="1"/>
    </xf>
    <xf numFmtId="181" fontId="28" fillId="27" borderId="165" xfId="0" applyNumberFormat="1" applyFont="1" applyFill="1" applyBorder="1" applyAlignment="1" applyProtection="1">
      <alignment vertical="center"/>
      <protection hidden="1"/>
    </xf>
    <xf numFmtId="181" fontId="28" fillId="27" borderId="166" xfId="0" applyNumberFormat="1" applyFont="1" applyFill="1" applyBorder="1" applyAlignment="1" applyProtection="1">
      <alignment vertical="center"/>
      <protection hidden="1"/>
    </xf>
    <xf numFmtId="0" fontId="28" fillId="27" borderId="164" xfId="0" applyFont="1" applyFill="1" applyBorder="1" applyAlignment="1" applyProtection="1">
      <alignment vertical="center" wrapText="1"/>
      <protection hidden="1"/>
    </xf>
    <xf numFmtId="0" fontId="0" fillId="0" borderId="165" xfId="0" applyBorder="1" applyAlignment="1">
      <alignment vertical="center" wrapText="1"/>
    </xf>
    <xf numFmtId="0" fontId="0" fillId="0" borderId="166" xfId="0" applyBorder="1" applyAlignment="1">
      <alignment vertical="center" wrapText="1"/>
    </xf>
    <xf numFmtId="0" fontId="28" fillId="27" borderId="12" xfId="0" applyFont="1" applyFill="1" applyBorder="1" applyAlignment="1" applyProtection="1">
      <alignment vertical="center" wrapText="1"/>
      <protection hidden="1"/>
    </xf>
    <xf numFmtId="0" fontId="0" fillId="0" borderId="13" xfId="0" applyBorder="1" applyAlignment="1">
      <alignment vertical="center" wrapText="1"/>
    </xf>
    <xf numFmtId="0" fontId="0" fillId="0" borderId="14" xfId="0" applyBorder="1" applyAlignment="1">
      <alignment vertical="center" wrapText="1"/>
    </xf>
    <xf numFmtId="207" fontId="23" fillId="31" borderId="92" xfId="0" applyNumberFormat="1" applyFont="1" applyFill="1" applyBorder="1" applyAlignment="1" applyProtection="1">
      <alignment horizontal="center" vertical="center"/>
      <protection locked="0"/>
    </xf>
    <xf numFmtId="0" fontId="164" fillId="0" borderId="100" xfId="0" applyFont="1" applyBorder="1" applyAlignment="1" applyProtection="1">
      <alignment horizontal="center" vertical="center"/>
      <protection locked="0"/>
    </xf>
    <xf numFmtId="0" fontId="164" fillId="0" borderId="216" xfId="0" applyFont="1" applyBorder="1" applyAlignment="1" applyProtection="1">
      <alignment horizontal="center" vertical="center"/>
      <protection locked="0"/>
    </xf>
    <xf numFmtId="0" fontId="28" fillId="27" borderId="53" xfId="0" applyFont="1" applyFill="1" applyBorder="1" applyAlignment="1" applyProtection="1">
      <alignment horizontal="left" vertical="center" wrapText="1"/>
      <protection hidden="1"/>
    </xf>
    <xf numFmtId="0" fontId="28" fillId="27" borderId="54" xfId="0" applyFont="1" applyFill="1" applyBorder="1" applyAlignment="1" applyProtection="1">
      <alignment horizontal="left" vertical="center" wrapText="1"/>
      <protection hidden="1"/>
    </xf>
    <xf numFmtId="0" fontId="28" fillId="27" borderId="86" xfId="0" applyFont="1" applyFill="1" applyBorder="1" applyAlignment="1" applyProtection="1">
      <alignment horizontal="left" vertical="center" wrapText="1"/>
      <protection hidden="1"/>
    </xf>
    <xf numFmtId="0" fontId="164" fillId="38" borderId="165" xfId="0" applyFont="1" applyFill="1" applyBorder="1" applyAlignment="1">
      <alignment horizontal="left" vertical="center" wrapText="1"/>
    </xf>
    <xf numFmtId="0" fontId="164" fillId="38" borderId="166" xfId="0" applyFont="1" applyFill="1" applyBorder="1" applyAlignment="1">
      <alignment horizontal="left" vertical="center" wrapText="1"/>
    </xf>
    <xf numFmtId="0" fontId="164" fillId="38" borderId="13" xfId="0" applyFont="1" applyFill="1" applyBorder="1" applyAlignment="1">
      <alignment horizontal="left" vertical="center" wrapText="1"/>
    </xf>
    <xf numFmtId="0" fontId="164" fillId="38" borderId="171" xfId="0" applyFont="1" applyFill="1" applyBorder="1" applyAlignment="1">
      <alignment horizontal="left" vertical="center" wrapText="1"/>
    </xf>
    <xf numFmtId="0" fontId="164" fillId="38" borderId="170" xfId="0" applyFont="1" applyFill="1" applyBorder="1" applyAlignment="1">
      <alignment horizontal="left" vertical="center" wrapText="1"/>
    </xf>
    <xf numFmtId="207" fontId="23" fillId="31" borderId="188" xfId="0" applyNumberFormat="1" applyFont="1" applyFill="1" applyBorder="1" applyAlignment="1" applyProtection="1">
      <alignment horizontal="center" vertical="center"/>
      <protection locked="0"/>
    </xf>
    <xf numFmtId="0" fontId="164" fillId="0" borderId="115" xfId="0" applyFont="1" applyBorder="1" applyAlignment="1" applyProtection="1">
      <alignment horizontal="center" vertical="center"/>
      <protection locked="0"/>
    </xf>
    <xf numFmtId="0" fontId="28" fillId="27" borderId="57" xfId="0" applyFont="1" applyFill="1" applyBorder="1" applyAlignment="1" applyProtection="1">
      <alignment horizontal="left" vertical="center" wrapText="1"/>
      <protection hidden="1"/>
    </xf>
    <xf numFmtId="0" fontId="28" fillId="27" borderId="58" xfId="0" applyFont="1" applyFill="1" applyBorder="1" applyAlignment="1" applyProtection="1">
      <alignment horizontal="left" vertical="center" wrapText="1"/>
      <protection hidden="1"/>
    </xf>
    <xf numFmtId="0" fontId="28" fillId="27" borderId="181" xfId="0" applyFont="1" applyFill="1" applyBorder="1" applyAlignment="1" applyProtection="1">
      <alignment horizontal="left" vertical="center"/>
      <protection hidden="1"/>
    </xf>
    <xf numFmtId="0" fontId="28" fillId="27" borderId="182" xfId="0" applyFont="1" applyFill="1" applyBorder="1" applyAlignment="1" applyProtection="1">
      <alignment horizontal="left" vertical="center"/>
      <protection hidden="1"/>
    </xf>
    <xf numFmtId="0" fontId="28" fillId="27" borderId="62" xfId="0" applyFont="1" applyFill="1" applyBorder="1" applyAlignment="1" applyProtection="1">
      <alignment horizontal="left" vertical="center"/>
      <protection hidden="1"/>
    </xf>
    <xf numFmtId="0" fontId="28" fillId="27" borderId="0" xfId="0" applyFont="1" applyFill="1" applyBorder="1" applyAlignment="1" applyProtection="1">
      <alignment horizontal="left" vertical="center"/>
      <protection hidden="1"/>
    </xf>
    <xf numFmtId="0" fontId="28" fillId="27" borderId="17" xfId="0" applyFont="1" applyFill="1" applyBorder="1" applyAlignment="1" applyProtection="1">
      <alignment horizontal="left" vertical="center"/>
      <protection hidden="1"/>
    </xf>
    <xf numFmtId="0" fontId="28" fillId="27" borderId="86" xfId="0" applyFont="1" applyFill="1" applyBorder="1" applyAlignment="1" applyProtection="1">
      <alignment horizontal="left" vertical="center"/>
      <protection hidden="1"/>
    </xf>
    <xf numFmtId="0" fontId="28" fillId="27" borderId="87" xfId="0" applyFont="1" applyFill="1" applyBorder="1" applyAlignment="1" applyProtection="1">
      <alignment horizontal="left" vertical="center"/>
      <protection hidden="1"/>
    </xf>
    <xf numFmtId="0" fontId="28" fillId="27" borderId="195" xfId="0" applyFont="1" applyFill="1" applyBorder="1" applyAlignment="1" applyProtection="1">
      <alignment horizontal="left" vertical="center"/>
      <protection hidden="1"/>
    </xf>
    <xf numFmtId="0" fontId="28" fillId="27" borderId="169" xfId="0" applyFont="1" applyFill="1" applyBorder="1" applyAlignment="1" applyProtection="1">
      <alignment vertical="center" wrapText="1"/>
      <protection hidden="1"/>
    </xf>
    <xf numFmtId="0" fontId="0" fillId="0" borderId="171" xfId="0" applyBorder="1" applyAlignment="1">
      <alignment vertical="center" wrapText="1"/>
    </xf>
    <xf numFmtId="0" fontId="0" fillId="0" borderId="170" xfId="0" applyBorder="1" applyAlignment="1">
      <alignment vertical="center" wrapText="1"/>
    </xf>
    <xf numFmtId="0" fontId="26" fillId="27" borderId="188" xfId="0" applyFont="1" applyFill="1" applyBorder="1" applyAlignment="1" applyProtection="1">
      <alignment horizontal="center" vertical="center"/>
      <protection locked="0" hidden="1"/>
    </xf>
    <xf numFmtId="0" fontId="26" fillId="27" borderId="115" xfId="0" applyFont="1" applyFill="1" applyBorder="1" applyAlignment="1" applyProtection="1">
      <alignment horizontal="center" vertical="center"/>
      <protection locked="0" hidden="1"/>
    </xf>
    <xf numFmtId="0" fontId="28" fillId="27" borderId="77" xfId="0" applyFont="1" applyFill="1" applyBorder="1" applyAlignment="1" applyProtection="1">
      <alignment vertical="center" wrapText="1"/>
      <protection locked="0"/>
    </xf>
    <xf numFmtId="0" fontId="28" fillId="27" borderId="57" xfId="0" applyFont="1" applyFill="1" applyBorder="1" applyAlignment="1" applyProtection="1">
      <alignment vertical="center" wrapText="1"/>
      <protection locked="0"/>
    </xf>
    <xf numFmtId="0" fontId="28" fillId="27" borderId="58" xfId="0" applyFont="1" applyFill="1" applyBorder="1" applyAlignment="1" applyProtection="1">
      <alignment vertical="center" wrapText="1"/>
      <protection locked="0"/>
    </xf>
    <xf numFmtId="0" fontId="28"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28" fillId="27" borderId="184" xfId="0" applyFont="1" applyFill="1" applyBorder="1" applyAlignment="1">
      <alignment horizontal="left" vertical="center" wrapText="1"/>
    </xf>
    <xf numFmtId="0" fontId="28" fillId="0" borderId="165" xfId="0" applyFont="1" applyBorder="1" applyAlignment="1">
      <alignment horizontal="left" vertical="center" wrapText="1"/>
    </xf>
    <xf numFmtId="0" fontId="28" fillId="0" borderId="166" xfId="0" applyFont="1" applyBorder="1" applyAlignment="1">
      <alignment horizontal="left" vertical="center" wrapText="1"/>
    </xf>
    <xf numFmtId="0" fontId="28" fillId="27" borderId="165" xfId="0" applyFont="1" applyFill="1" applyBorder="1" applyAlignment="1">
      <alignment horizontal="left" vertical="center" wrapText="1"/>
    </xf>
    <xf numFmtId="0" fontId="28" fillId="27" borderId="201" xfId="0" applyFont="1" applyFill="1" applyBorder="1" applyAlignment="1">
      <alignment horizontal="left" vertical="center" wrapText="1"/>
    </xf>
    <xf numFmtId="0" fontId="28" fillId="27" borderId="181" xfId="0" applyFont="1" applyFill="1" applyBorder="1" applyAlignment="1">
      <alignment horizontal="left" vertical="center" wrapText="1"/>
    </xf>
    <xf numFmtId="0" fontId="28" fillId="27" borderId="182" xfId="0" applyFont="1" applyFill="1" applyBorder="1" applyAlignment="1">
      <alignment horizontal="left" vertical="center" wrapText="1"/>
    </xf>
    <xf numFmtId="0" fontId="28" fillId="27" borderId="62" xfId="0" applyFont="1" applyFill="1" applyBorder="1" applyAlignment="1">
      <alignment horizontal="left" vertical="center" wrapText="1"/>
    </xf>
    <xf numFmtId="0" fontId="28" fillId="27" borderId="0" xfId="0" applyFont="1" applyFill="1" applyBorder="1" applyAlignment="1">
      <alignment horizontal="left" vertical="center" wrapText="1"/>
    </xf>
    <xf numFmtId="0" fontId="28" fillId="27" borderId="17" xfId="0" applyFont="1" applyFill="1" applyBorder="1" applyAlignment="1">
      <alignment horizontal="left" vertical="center" wrapText="1"/>
    </xf>
    <xf numFmtId="0" fontId="28" fillId="27" borderId="13" xfId="0" applyFont="1" applyFill="1" applyBorder="1" applyAlignment="1">
      <alignment horizontal="left" vertical="center" wrapText="1"/>
    </xf>
    <xf numFmtId="0" fontId="164" fillId="0" borderId="100" xfId="0" applyFont="1" applyBorder="1" applyAlignment="1" applyProtection="1">
      <alignment vertical="center"/>
      <protection locked="0"/>
    </xf>
    <xf numFmtId="0" fontId="164" fillId="0" borderId="115" xfId="0" applyFont="1" applyBorder="1" applyAlignment="1" applyProtection="1">
      <alignment vertical="center"/>
      <protection locked="0"/>
    </xf>
    <xf numFmtId="0" fontId="164" fillId="0" borderId="181" xfId="0" applyFont="1" applyBorder="1" applyAlignment="1">
      <alignment vertical="center"/>
    </xf>
    <xf numFmtId="0" fontId="164" fillId="0" borderId="182" xfId="0" applyFont="1" applyBorder="1" applyAlignment="1">
      <alignment vertical="center"/>
    </xf>
    <xf numFmtId="0" fontId="164" fillId="0" borderId="62" xfId="0" applyFont="1" applyBorder="1" applyAlignment="1">
      <alignment vertical="center"/>
    </xf>
    <xf numFmtId="0" fontId="164" fillId="0" borderId="0" xfId="0" applyFont="1" applyAlignment="1">
      <alignment vertical="center"/>
    </xf>
    <xf numFmtId="0" fontId="164" fillId="0" borderId="17" xfId="0" applyFont="1" applyBorder="1" applyAlignment="1">
      <alignment vertical="center"/>
    </xf>
    <xf numFmtId="0" fontId="164" fillId="0" borderId="77" xfId="0" applyFont="1" applyBorder="1" applyAlignment="1">
      <alignment vertical="center"/>
    </xf>
    <xf numFmtId="0" fontId="164" fillId="0" borderId="57" xfId="0" applyFont="1" applyBorder="1" applyAlignment="1">
      <alignment vertical="center"/>
    </xf>
    <xf numFmtId="0" fontId="164" fillId="0" borderId="58" xfId="0" applyFont="1" applyBorder="1" applyAlignment="1">
      <alignment vertical="center"/>
    </xf>
    <xf numFmtId="0" fontId="28" fillId="27" borderId="64" xfId="0" applyFont="1" applyFill="1" applyBorder="1" applyAlignment="1">
      <alignment horizontal="left" vertical="center" wrapText="1"/>
    </xf>
    <xf numFmtId="207" fontId="23" fillId="31" borderId="92" xfId="0" applyNumberFormat="1" applyFont="1" applyFill="1" applyBorder="1" applyAlignment="1" applyProtection="1">
      <alignment horizontal="center" vertical="center"/>
      <protection locked="0" hidden="1"/>
    </xf>
    <xf numFmtId="0" fontId="164" fillId="0" borderId="216" xfId="0" applyFont="1" applyBorder="1" applyAlignment="1" applyProtection="1">
      <alignment vertical="center"/>
      <protection locked="0"/>
    </xf>
    <xf numFmtId="0" fontId="67" fillId="0" borderId="53" xfId="0" applyFont="1" applyBorder="1" applyAlignment="1" applyProtection="1">
      <alignment horizontal="left" vertical="top" wrapText="1"/>
    </xf>
    <xf numFmtId="0" fontId="37" fillId="0" borderId="53" xfId="0" applyFont="1" applyBorder="1" applyAlignment="1" applyProtection="1">
      <alignment horizontal="left" vertical="top" wrapText="1"/>
    </xf>
    <xf numFmtId="0" fontId="0" fillId="0" borderId="165" xfId="0" applyBorder="1" applyAlignment="1">
      <alignment horizontal="left" vertical="center" wrapText="1"/>
    </xf>
    <xf numFmtId="0" fontId="0" fillId="0" borderId="166" xfId="0" applyBorder="1" applyAlignment="1">
      <alignment horizontal="left" vertical="center" wrapText="1"/>
    </xf>
    <xf numFmtId="0" fontId="28" fillId="27" borderId="164" xfId="0" applyFont="1" applyFill="1" applyBorder="1" applyAlignment="1" applyProtection="1">
      <alignment horizontal="center" vertical="center" shrinkToFit="1"/>
      <protection hidden="1"/>
    </xf>
    <xf numFmtId="0" fontId="28" fillId="27" borderId="165" xfId="0" applyFont="1" applyFill="1" applyBorder="1" applyAlignment="1" applyProtection="1">
      <alignment horizontal="center" vertical="center" shrinkToFit="1"/>
      <protection hidden="1"/>
    </xf>
    <xf numFmtId="0" fontId="28" fillId="27" borderId="166" xfId="0" applyFont="1" applyFill="1" applyBorder="1" applyAlignment="1" applyProtection="1">
      <alignment horizontal="center" vertical="center" shrinkToFit="1"/>
      <protection hidden="1"/>
    </xf>
    <xf numFmtId="0" fontId="164" fillId="27" borderId="11" xfId="0" applyFont="1" applyFill="1" applyBorder="1" applyAlignment="1">
      <alignment horizontal="center" vertical="center" wrapText="1"/>
    </xf>
    <xf numFmtId="0" fontId="164" fillId="27" borderId="168" xfId="0" applyFont="1" applyFill="1" applyBorder="1" applyAlignment="1">
      <alignment horizontal="center" vertical="center" wrapText="1"/>
    </xf>
    <xf numFmtId="0" fontId="28" fillId="27" borderId="57" xfId="0" applyFont="1" applyFill="1" applyBorder="1" applyAlignment="1">
      <alignment horizontal="left" vertical="center" wrapText="1"/>
    </xf>
    <xf numFmtId="0" fontId="28" fillId="27" borderId="58" xfId="0" applyFont="1" applyFill="1" applyBorder="1" applyAlignment="1">
      <alignment horizontal="left" vertical="center" wrapText="1"/>
    </xf>
    <xf numFmtId="0" fontId="28" fillId="27" borderId="176" xfId="0" applyFont="1" applyFill="1" applyBorder="1" applyAlignment="1">
      <alignment vertical="center" wrapText="1"/>
    </xf>
    <xf numFmtId="0" fontId="164" fillId="0" borderId="182" xfId="0" applyFont="1" applyBorder="1" applyAlignment="1">
      <alignment vertical="center" wrapText="1"/>
    </xf>
    <xf numFmtId="0" fontId="164" fillId="0" borderId="56" xfId="0" applyFont="1" applyBorder="1" applyAlignment="1">
      <alignment vertical="center" wrapText="1"/>
    </xf>
    <xf numFmtId="0" fontId="164" fillId="0" borderId="58" xfId="0" applyFont="1" applyBorder="1" applyAlignment="1">
      <alignment vertical="center" wrapText="1"/>
    </xf>
    <xf numFmtId="0" fontId="28" fillId="27" borderId="53" xfId="0" applyFont="1" applyFill="1" applyBorder="1" applyAlignment="1">
      <alignment horizontal="left" vertical="center" wrapText="1"/>
    </xf>
    <xf numFmtId="0" fontId="28" fillId="27" borderId="54" xfId="0" applyFont="1" applyFill="1" applyBorder="1" applyAlignment="1">
      <alignment horizontal="left" vertical="center" wrapText="1"/>
    </xf>
    <xf numFmtId="0" fontId="28" fillId="27" borderId="87" xfId="0" applyFont="1" applyFill="1" applyBorder="1" applyAlignment="1">
      <alignment horizontal="left" vertical="center" wrapText="1"/>
    </xf>
    <xf numFmtId="0" fontId="28" fillId="27" borderId="195" xfId="0" applyFont="1" applyFill="1" applyBorder="1" applyAlignment="1">
      <alignment horizontal="left" vertical="center" wrapText="1"/>
    </xf>
    <xf numFmtId="0" fontId="28" fillId="27" borderId="12" xfId="0" applyFont="1" applyFill="1" applyBorder="1" applyAlignment="1">
      <alignment vertical="center" wrapText="1"/>
    </xf>
    <xf numFmtId="0" fontId="28" fillId="27" borderId="175" xfId="0" applyFont="1" applyFill="1" applyBorder="1" applyAlignment="1" applyProtection="1">
      <alignment horizontal="left" vertical="center" wrapText="1"/>
      <protection locked="0"/>
    </xf>
    <xf numFmtId="0" fontId="28" fillId="27" borderId="87" xfId="0" applyFont="1" applyFill="1" applyBorder="1" applyAlignment="1" applyProtection="1">
      <alignment horizontal="left" vertical="center" wrapText="1"/>
      <protection locked="0"/>
    </xf>
    <xf numFmtId="176" fontId="28" fillId="27" borderId="12" xfId="0" applyNumberFormat="1" applyFont="1" applyFill="1" applyBorder="1" applyAlignment="1" applyProtection="1">
      <alignment horizontal="left" vertical="center"/>
      <protection hidden="1"/>
    </xf>
    <xf numFmtId="176" fontId="28" fillId="27" borderId="13" xfId="0" applyNumberFormat="1" applyFont="1" applyFill="1" applyBorder="1" applyAlignment="1" applyProtection="1">
      <alignment horizontal="left" vertical="center"/>
      <protection hidden="1"/>
    </xf>
    <xf numFmtId="0" fontId="28" fillId="27" borderId="52" xfId="0" applyFont="1" applyFill="1" applyBorder="1" applyAlignment="1" applyProtection="1">
      <alignment horizontal="center" vertical="center"/>
      <protection hidden="1"/>
    </xf>
    <xf numFmtId="0" fontId="28" fillId="27" borderId="54" xfId="0" applyFont="1" applyFill="1" applyBorder="1" applyAlignment="1" applyProtection="1">
      <alignment horizontal="center" vertical="center"/>
      <protection hidden="1"/>
    </xf>
    <xf numFmtId="0" fontId="28" fillId="27" borderId="64" xfId="0" applyFont="1" applyFill="1" applyBorder="1" applyAlignment="1" applyProtection="1">
      <alignment horizontal="center" vertical="center"/>
      <protection hidden="1"/>
    </xf>
    <xf numFmtId="0" fontId="28" fillId="27" borderId="17" xfId="0" applyFont="1" applyFill="1" applyBorder="1" applyAlignment="1" applyProtection="1">
      <alignment horizontal="center" vertical="center"/>
      <protection hidden="1"/>
    </xf>
    <xf numFmtId="0" fontId="28" fillId="27" borderId="56" xfId="0" applyFont="1" applyFill="1" applyBorder="1" applyAlignment="1" applyProtection="1">
      <alignment horizontal="center" vertical="center"/>
      <protection hidden="1"/>
    </xf>
    <xf numFmtId="0" fontId="28" fillId="27" borderId="58" xfId="0" applyFont="1" applyFill="1" applyBorder="1" applyAlignment="1" applyProtection="1">
      <alignment horizontal="center" vertical="center"/>
      <protection hidden="1"/>
    </xf>
    <xf numFmtId="0" fontId="28" fillId="27" borderId="52" xfId="0" applyFont="1" applyFill="1" applyBorder="1" applyAlignment="1" applyProtection="1">
      <alignment horizontal="left" vertical="center" wrapText="1"/>
      <protection hidden="1"/>
    </xf>
    <xf numFmtId="0" fontId="28" fillId="27" borderId="56" xfId="0" applyFont="1" applyFill="1" applyBorder="1" applyAlignment="1" applyProtection="1">
      <alignment horizontal="left" vertical="center" wrapText="1"/>
      <protection hidden="1"/>
    </xf>
    <xf numFmtId="0" fontId="28" fillId="27" borderId="175" xfId="0" applyFont="1" applyFill="1" applyBorder="1" applyAlignment="1">
      <alignment horizontal="left" vertical="center" wrapText="1"/>
    </xf>
    <xf numFmtId="0" fontId="28" fillId="27" borderId="62" xfId="0" applyFont="1" applyFill="1" applyBorder="1" applyAlignment="1" applyProtection="1">
      <alignment horizontal="left" vertical="center" wrapText="1"/>
    </xf>
    <xf numFmtId="0" fontId="164" fillId="0" borderId="0" xfId="0" applyFont="1" applyAlignment="1">
      <alignment horizontal="left" vertical="center" wrapText="1"/>
    </xf>
    <xf numFmtId="0" fontId="28" fillId="27" borderId="86" xfId="0" applyFont="1" applyFill="1" applyBorder="1" applyAlignment="1" applyProtection="1">
      <alignment horizontal="left" vertical="center" wrapText="1"/>
    </xf>
    <xf numFmtId="0" fontId="164" fillId="0" borderId="87" xfId="0" applyFont="1" applyBorder="1" applyAlignment="1">
      <alignment horizontal="left" vertical="center" wrapText="1"/>
    </xf>
    <xf numFmtId="0" fontId="28" fillId="27" borderId="54" xfId="0" applyFont="1" applyFill="1" applyBorder="1" applyAlignment="1" applyProtection="1">
      <alignment horizontal="center" vertical="center" wrapText="1"/>
      <protection hidden="1"/>
    </xf>
    <xf numFmtId="0" fontId="28" fillId="27" borderId="64" xfId="0" applyFont="1" applyFill="1" applyBorder="1" applyAlignment="1" applyProtection="1">
      <alignment horizontal="center" vertical="center" wrapText="1"/>
      <protection hidden="1"/>
    </xf>
    <xf numFmtId="0" fontId="28" fillId="27" borderId="56" xfId="0" applyFont="1" applyFill="1" applyBorder="1" applyAlignment="1" applyProtection="1">
      <alignment horizontal="center" vertical="center" wrapText="1"/>
      <protection hidden="1"/>
    </xf>
    <xf numFmtId="0" fontId="28" fillId="27" borderId="58" xfId="0" applyFont="1" applyFill="1" applyBorder="1" applyAlignment="1" applyProtection="1">
      <alignment horizontal="center" vertical="center" wrapText="1"/>
      <protection hidden="1"/>
    </xf>
    <xf numFmtId="0" fontId="28" fillId="0" borderId="54" xfId="0" applyFont="1" applyBorder="1" applyAlignment="1">
      <alignment horizontal="left" vertical="center" wrapText="1"/>
    </xf>
    <xf numFmtId="0" fontId="164" fillId="0" borderId="87" xfId="0" applyFont="1" applyBorder="1" applyAlignment="1">
      <alignment vertical="center"/>
    </xf>
    <xf numFmtId="0" fontId="164" fillId="0" borderId="195" xfId="0" applyFont="1" applyBorder="1" applyAlignment="1">
      <alignment vertical="center"/>
    </xf>
    <xf numFmtId="0" fontId="28" fillId="0" borderId="53" xfId="0" applyFont="1" applyBorder="1" applyAlignment="1">
      <alignment horizontal="left" vertical="top" wrapText="1"/>
    </xf>
    <xf numFmtId="0" fontId="28" fillId="27" borderId="10" xfId="0" applyFont="1" applyFill="1" applyBorder="1" applyAlignment="1" applyProtection="1">
      <alignment horizontal="center" vertical="center" wrapText="1"/>
      <protection hidden="1"/>
    </xf>
    <xf numFmtId="0" fontId="28" fillId="27" borderId="89" xfId="0" applyFont="1" applyFill="1" applyBorder="1" applyAlignment="1" applyProtection="1">
      <alignment horizontal="left" vertical="center" wrapText="1"/>
    </xf>
    <xf numFmtId="0" fontId="28" fillId="27" borderId="53" xfId="0" applyFont="1" applyFill="1" applyBorder="1" applyAlignment="1" applyProtection="1">
      <alignment horizontal="left" vertical="center" wrapText="1"/>
    </xf>
    <xf numFmtId="0" fontId="164" fillId="27" borderId="16" xfId="0" applyFont="1" applyFill="1" applyBorder="1" applyAlignment="1">
      <alignment horizontal="center" vertical="center" wrapText="1"/>
    </xf>
    <xf numFmtId="176" fontId="28" fillId="27" borderId="12" xfId="0" applyNumberFormat="1" applyFont="1" applyFill="1" applyBorder="1" applyAlignment="1" applyProtection="1">
      <alignment horizontal="left" vertical="center" wrapText="1"/>
      <protection hidden="1"/>
    </xf>
    <xf numFmtId="0" fontId="28" fillId="27" borderId="26" xfId="0" applyFont="1" applyFill="1" applyBorder="1" applyAlignment="1">
      <alignment horizontal="center" vertical="center"/>
    </xf>
    <xf numFmtId="0" fontId="28" fillId="27" borderId="50" xfId="0" applyFont="1" applyFill="1" applyBorder="1" applyAlignment="1">
      <alignment horizontal="center" vertical="center"/>
    </xf>
    <xf numFmtId="0" fontId="28" fillId="27" borderId="27" xfId="0" applyFont="1" applyFill="1" applyBorder="1" applyAlignment="1">
      <alignment horizontal="center" vertical="center"/>
    </xf>
    <xf numFmtId="0" fontId="28" fillId="0" borderId="167" xfId="0" applyFont="1" applyBorder="1" applyAlignment="1">
      <alignment horizontal="center" vertical="center" wrapText="1"/>
    </xf>
    <xf numFmtId="0" fontId="28" fillId="27" borderId="177" xfId="0" applyFont="1" applyFill="1" applyBorder="1" applyAlignment="1">
      <alignment horizontal="center" vertical="center" wrapText="1"/>
    </xf>
    <xf numFmtId="0" fontId="28" fillId="27" borderId="167" xfId="0" applyFont="1" applyFill="1" applyBorder="1" applyAlignment="1">
      <alignment horizontal="center" vertical="center" wrapText="1"/>
    </xf>
    <xf numFmtId="0" fontId="28" fillId="27" borderId="164" xfId="0" applyFont="1" applyFill="1" applyBorder="1" applyAlignment="1">
      <alignment vertical="center" wrapText="1"/>
    </xf>
    <xf numFmtId="0" fontId="164" fillId="0" borderId="165" xfId="0" applyFont="1" applyBorder="1" applyAlignment="1">
      <alignment vertical="center" wrapText="1"/>
    </xf>
    <xf numFmtId="0" fontId="164" fillId="0" borderId="166" xfId="0" applyFont="1" applyBorder="1" applyAlignment="1">
      <alignment vertical="center" wrapText="1"/>
    </xf>
    <xf numFmtId="0" fontId="28" fillId="27" borderId="52" xfId="0" applyFont="1" applyFill="1" applyBorder="1" applyAlignment="1">
      <alignment vertical="center" wrapText="1"/>
    </xf>
    <xf numFmtId="0" fontId="164" fillId="0" borderId="54" xfId="0" applyFont="1" applyBorder="1" applyAlignment="1">
      <alignment vertical="center" wrapText="1"/>
    </xf>
    <xf numFmtId="0" fontId="164" fillId="0" borderId="175" xfId="0" applyFont="1" applyBorder="1" applyAlignment="1">
      <alignment vertical="center" wrapText="1"/>
    </xf>
    <xf numFmtId="0" fontId="164" fillId="0" borderId="195" xfId="0" applyFont="1" applyBorder="1" applyAlignment="1">
      <alignment vertical="center" wrapText="1"/>
    </xf>
    <xf numFmtId="0" fontId="164" fillId="0" borderId="64" xfId="0" applyFont="1" applyBorder="1" applyAlignment="1">
      <alignment vertical="center" wrapText="1"/>
    </xf>
    <xf numFmtId="0" fontId="164" fillId="0" borderId="17" xfId="0" applyFont="1" applyBorder="1" applyAlignment="1">
      <alignment vertical="center" wrapText="1"/>
    </xf>
    <xf numFmtId="0" fontId="28" fillId="27" borderId="187" xfId="0" applyFont="1" applyFill="1" applyBorder="1" applyAlignment="1">
      <alignment vertical="center" wrapText="1"/>
    </xf>
    <xf numFmtId="0" fontId="164" fillId="0" borderId="218" xfId="0" applyFont="1" applyBorder="1" applyAlignment="1">
      <alignment vertical="center" wrapText="1"/>
    </xf>
    <xf numFmtId="0" fontId="164" fillId="0" borderId="181" xfId="0" applyFont="1" applyBorder="1" applyAlignment="1">
      <alignment vertical="center" wrapText="1"/>
    </xf>
    <xf numFmtId="0" fontId="28" fillId="27" borderId="175" xfId="0" applyFont="1" applyFill="1" applyBorder="1" applyAlignment="1">
      <alignment vertical="center" wrapText="1"/>
    </xf>
    <xf numFmtId="0" fontId="164" fillId="0" borderId="87" xfId="0" applyFont="1" applyBorder="1" applyAlignment="1">
      <alignment vertical="center" wrapText="1"/>
    </xf>
    <xf numFmtId="0" fontId="28" fillId="27" borderId="217" xfId="0" applyFont="1" applyFill="1" applyBorder="1" applyAlignment="1">
      <alignment vertical="center" wrapText="1"/>
    </xf>
    <xf numFmtId="0" fontId="164" fillId="0" borderId="118" xfId="0" applyFont="1" applyBorder="1" applyAlignment="1">
      <alignment vertical="center" wrapText="1"/>
    </xf>
    <xf numFmtId="0" fontId="28" fillId="0" borderId="15" xfId="0" applyFont="1" applyBorder="1" applyAlignment="1">
      <alignment horizontal="center" vertical="center" wrapText="1"/>
    </xf>
    <xf numFmtId="0" fontId="28" fillId="27" borderId="27" xfId="0" applyNumberFormat="1" applyFont="1" applyFill="1" applyBorder="1" applyAlignment="1" applyProtection="1">
      <alignment vertical="center" wrapText="1"/>
      <protection hidden="1"/>
    </xf>
    <xf numFmtId="0" fontId="28" fillId="27" borderId="55" xfId="0" applyFont="1" applyFill="1" applyBorder="1" applyAlignment="1">
      <alignment horizontal="center" vertical="center" wrapText="1"/>
    </xf>
    <xf numFmtId="0" fontId="164" fillId="0" borderId="120" xfId="0" applyFont="1" applyBorder="1" applyAlignment="1">
      <alignment vertical="center" wrapText="1"/>
    </xf>
    <xf numFmtId="0" fontId="28" fillId="27" borderId="201" xfId="0" applyFont="1" applyFill="1" applyBorder="1" applyAlignment="1" applyProtection="1">
      <alignment horizontal="left" vertical="center" wrapText="1"/>
    </xf>
    <xf numFmtId="0" fontId="164" fillId="0" borderId="181" xfId="0" applyFont="1" applyBorder="1" applyAlignment="1">
      <alignment horizontal="left" vertical="center" wrapText="1"/>
    </xf>
    <xf numFmtId="0" fontId="28" fillId="27" borderId="77" xfId="0" applyFont="1" applyFill="1" applyBorder="1" applyAlignment="1">
      <alignment horizontal="left" vertical="center" wrapText="1"/>
    </xf>
    <xf numFmtId="0" fontId="28" fillId="0" borderId="0" xfId="0" applyFont="1" applyFill="1" applyBorder="1" applyAlignment="1" applyProtection="1">
      <alignment horizontal="left" vertical="center"/>
    </xf>
    <xf numFmtId="0" fontId="28" fillId="0" borderId="0" xfId="0" applyFont="1" applyFill="1" applyBorder="1" applyAlignment="1" applyProtection="1">
      <alignment vertical="center" shrinkToFit="1"/>
    </xf>
    <xf numFmtId="0" fontId="28" fillId="29" borderId="0" xfId="0" applyFont="1" applyFill="1" applyBorder="1" applyAlignment="1" applyProtection="1">
      <alignment horizontal="left" vertical="center"/>
    </xf>
    <xf numFmtId="0" fontId="96" fillId="0" borderId="65" xfId="0" applyNumberFormat="1" applyFont="1" applyFill="1" applyBorder="1" applyAlignment="1" applyProtection="1">
      <alignment vertical="center" shrinkToFit="1"/>
    </xf>
    <xf numFmtId="0" fontId="96" fillId="0" borderId="66" xfId="0" applyNumberFormat="1" applyFont="1" applyFill="1" applyBorder="1" applyAlignment="1" applyProtection="1">
      <alignment vertical="center" shrinkToFit="1"/>
    </xf>
    <xf numFmtId="0" fontId="96" fillId="0" borderId="67" xfId="0" applyNumberFormat="1" applyFont="1" applyFill="1" applyBorder="1" applyAlignment="1" applyProtection="1">
      <alignment vertical="center" shrinkToFit="1"/>
    </xf>
    <xf numFmtId="0" fontId="63" fillId="37" borderId="59" xfId="0" applyNumberFormat="1" applyFont="1" applyFill="1" applyBorder="1" applyAlignment="1" applyProtection="1">
      <alignment vertical="center" shrinkToFit="1"/>
    </xf>
    <xf numFmtId="0" fontId="63" fillId="37" borderId="60" xfId="0" applyNumberFormat="1" applyFont="1" applyFill="1" applyBorder="1" applyAlignment="1" applyProtection="1">
      <alignment vertical="center" shrinkToFit="1"/>
    </xf>
    <xf numFmtId="0" fontId="63" fillId="37" borderId="61" xfId="0" applyNumberFormat="1" applyFont="1" applyFill="1" applyBorder="1" applyAlignment="1" applyProtection="1">
      <alignment vertical="center" shrinkToFit="1"/>
    </xf>
    <xf numFmtId="0" fontId="177" fillId="60" borderId="68" xfId="49" applyFill="1" applyBorder="1" applyAlignment="1" applyProtection="1">
      <alignment horizontal="center" vertical="center"/>
      <protection hidden="1"/>
    </xf>
    <xf numFmtId="0" fontId="177" fillId="60" borderId="69" xfId="49" applyFill="1" applyBorder="1" applyAlignment="1" applyProtection="1">
      <alignment horizontal="center" vertical="center"/>
      <protection hidden="1"/>
    </xf>
    <xf numFmtId="0" fontId="177" fillId="60" borderId="71" xfId="49" applyFill="1" applyBorder="1" applyAlignment="1" applyProtection="1">
      <alignment horizontal="center" vertical="center"/>
      <protection hidden="1"/>
    </xf>
    <xf numFmtId="2" fontId="33" fillId="35" borderId="10" xfId="0" applyNumberFormat="1" applyFont="1" applyFill="1" applyBorder="1" applyAlignment="1" applyProtection="1">
      <alignment horizontal="center"/>
      <protection hidden="1"/>
    </xf>
    <xf numFmtId="2" fontId="33" fillId="35" borderId="51" xfId="0" applyNumberFormat="1" applyFont="1" applyFill="1" applyBorder="1" applyAlignment="1" applyProtection="1">
      <alignment horizontal="center"/>
      <protection hidden="1"/>
    </xf>
    <xf numFmtId="0" fontId="33" fillId="41" borderId="51" xfId="0" applyFont="1" applyFill="1" applyBorder="1" applyAlignment="1" applyProtection="1">
      <alignment horizontal="center" vertical="center"/>
      <protection locked="0"/>
    </xf>
    <xf numFmtId="0" fontId="33" fillId="41" borderId="15" xfId="0" applyFont="1" applyFill="1" applyBorder="1" applyAlignment="1" applyProtection="1">
      <alignment horizontal="center" vertical="center"/>
      <protection locked="0"/>
    </xf>
    <xf numFmtId="0" fontId="33" fillId="41" borderId="55" xfId="0" applyFont="1" applyFill="1" applyBorder="1" applyAlignment="1" applyProtection="1">
      <alignment horizontal="center" vertical="center"/>
      <protection locked="0"/>
    </xf>
    <xf numFmtId="0" fontId="33" fillId="27" borderId="15" xfId="0" applyFont="1" applyFill="1" applyBorder="1" applyAlignment="1">
      <alignment horizontal="center" vertical="center" wrapText="1"/>
    </xf>
    <xf numFmtId="0" fontId="33" fillId="27" borderId="64" xfId="0" applyFont="1" applyFill="1" applyBorder="1" applyAlignment="1">
      <alignment horizontal="center" vertical="center" wrapText="1"/>
    </xf>
    <xf numFmtId="0" fontId="33" fillId="27" borderId="10" xfId="0" applyFont="1" applyFill="1" applyBorder="1" applyAlignment="1">
      <alignment horizontal="center" vertical="center"/>
    </xf>
    <xf numFmtId="0" fontId="33" fillId="27" borderId="26"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xf>
    <xf numFmtId="0" fontId="33" fillId="27" borderId="55" xfId="0" applyFont="1" applyFill="1" applyBorder="1" applyAlignment="1">
      <alignment horizontal="center" vertical="center"/>
    </xf>
  </cellXfs>
  <cellStyles count="5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9" xr:uid="{00000000-0005-0000-0000-00002C000000}"/>
    <cellStyle name="標準_070627LCCO2計算" xfId="44" xr:uid="{00000000-0005-0000-0000-00002D000000}"/>
    <cellStyle name="標準_070627LCCO2計算_100308事業者別CO2排出係数シート案" xfId="45" xr:uid="{00000000-0005-0000-0000-00002E000000}"/>
    <cellStyle name="標準_Book1" xfId="48" xr:uid="{00000000-0005-0000-0000-00002F000000}"/>
    <cellStyle name="標準_選定シートV1.0" xfId="46" xr:uid="{00000000-0005-0000-0000-000030000000}"/>
    <cellStyle name="良い" xfId="47" builtinId="26" customBuiltin="1"/>
  </cellStyles>
  <dxfs count="365">
    <dxf>
      <fill>
        <patternFill>
          <bgColor indexed="41"/>
        </patternFill>
      </fill>
    </dxf>
    <dxf>
      <fill>
        <patternFill>
          <bgColor indexed="51"/>
        </patternFill>
      </fill>
    </dxf>
    <dxf>
      <fill>
        <patternFill>
          <bgColor indexed="10"/>
        </patternFill>
      </fill>
    </dxf>
    <dxf>
      <fill>
        <patternFill>
          <bgColor theme="3" tint="0.79998168889431442"/>
        </patternFill>
      </fill>
    </dxf>
    <dxf>
      <fill>
        <patternFill>
          <bgColor theme="3" tint="0.79998168889431442"/>
        </patternFill>
      </fill>
    </dxf>
    <dxf>
      <fill>
        <patternFill>
          <bgColor indexed="41"/>
        </patternFill>
      </fill>
    </dxf>
    <dxf>
      <fill>
        <patternFill>
          <bgColor indexed="51"/>
        </patternFill>
      </fill>
    </dxf>
    <dxf>
      <fill>
        <patternFill>
          <bgColor indexed="10"/>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rgb="FFCCFFFF"/>
        </patternFill>
      </fill>
    </dxf>
    <dxf>
      <fill>
        <patternFill>
          <bgColor rgb="FFCCFFFF"/>
        </patternFill>
      </fill>
    </dxf>
    <dxf>
      <fill>
        <patternFill>
          <bgColor indexed="41"/>
        </patternFill>
      </fill>
    </dxf>
    <dxf>
      <fill>
        <patternFill>
          <bgColor indexed="22"/>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41"/>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41"/>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41"/>
        </patternFill>
      </fill>
    </dxf>
    <dxf>
      <fill>
        <patternFill>
          <bgColor indexed="27"/>
        </patternFill>
      </fill>
    </dxf>
    <dxf>
      <fill>
        <patternFill>
          <bgColor indexed="41"/>
        </patternFill>
      </fill>
    </dxf>
    <dxf>
      <fill>
        <patternFill>
          <bgColor indexed="41"/>
        </patternFill>
      </fill>
    </dxf>
    <dxf>
      <font>
        <condense val="0"/>
        <extend val="0"/>
        <u val="none"/>
        <color auto="1"/>
      </font>
      <fill>
        <patternFill>
          <bgColor indexed="27"/>
        </patternFill>
      </fill>
    </dxf>
    <dxf>
      <fill>
        <patternFill>
          <bgColor indexed="41"/>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rgb="FFCCFFFF"/>
        </patternFill>
      </fill>
    </dxf>
    <dxf>
      <font>
        <condense val="0"/>
        <extend val="0"/>
        <color auto="1"/>
      </font>
      <fill>
        <patternFill>
          <bgColor indexed="27"/>
        </patternFill>
      </fill>
    </dxf>
    <dxf>
      <fill>
        <patternFill>
          <bgColor indexed="41"/>
        </patternFill>
      </fill>
    </dxf>
    <dxf>
      <font>
        <condense val="0"/>
        <extend val="0"/>
        <color auto="1"/>
      </font>
      <fill>
        <patternFill patternType="solid">
          <bgColor indexed="26"/>
        </patternFill>
      </fill>
    </dxf>
    <dxf>
      <fill>
        <patternFill>
          <bgColor indexed="27"/>
        </patternFill>
      </fill>
    </dxf>
    <dxf>
      <fill>
        <patternFill>
          <bgColor indexed="14"/>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41"/>
        </patternFill>
      </fill>
    </dxf>
    <dxf>
      <fill>
        <patternFill>
          <bgColor indexed="26"/>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patternType="lightTrellis"/>
      </fill>
    </dxf>
    <dxf>
      <fill>
        <patternFill>
          <bgColor indexed="27"/>
        </patternFill>
      </fill>
    </dxf>
    <dxf>
      <fill>
        <patternFill>
          <bgColor rgb="FFCCFFFF"/>
        </patternFill>
      </fill>
    </dxf>
    <dxf>
      <fill>
        <patternFill>
          <bgColor indexed="27"/>
        </patternFill>
      </fill>
    </dxf>
    <dxf>
      <fill>
        <patternFill patternType="lightTrellis"/>
      </fill>
    </dxf>
    <dxf>
      <fill>
        <patternFill>
          <bgColor indexed="27"/>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43"/>
        </patternFill>
      </fill>
    </dxf>
    <dxf>
      <fill>
        <patternFill>
          <bgColor indexed="42"/>
        </patternFill>
      </fill>
    </dxf>
    <dxf>
      <font>
        <condense val="0"/>
        <extend val="0"/>
        <color auto="1"/>
      </font>
    </dxf>
    <dxf>
      <fill>
        <patternFill>
          <bgColor indexed="47"/>
        </patternFill>
      </fill>
    </dxf>
    <dxf>
      <font>
        <condense val="0"/>
        <extend val="0"/>
        <color auto="1"/>
      </font>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CCFFFF"/>
      <color rgb="FFFFFFCC"/>
      <color rgb="FFFFFF99"/>
      <color rgb="FFFF66F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image" Target="../media/image8.jpeg"/></Relationships>
</file>

<file path=xl/charts/_rels/chart13.xml.rels><?xml version="1.0" encoding="UTF-8" standalone="yes"?>
<Relationships xmlns="http://schemas.openxmlformats.org/package/2006/relationships"><Relationship Id="rId1" Type="http://schemas.openxmlformats.org/officeDocument/2006/relationships/image" Target="../media/image8.jpeg"/></Relationships>
</file>

<file path=xl/charts/_rels/chart14.xml.rels><?xml version="1.0" encoding="UTF-8" standalone="yes"?>
<Relationships xmlns="http://schemas.openxmlformats.org/package/2006/relationships"><Relationship Id="rId1" Type="http://schemas.openxmlformats.org/officeDocument/2006/relationships/image" Target="../media/image8.jpeg"/></Relationships>
</file>

<file path=xl/charts/_rels/chart15.xml.rels><?xml version="1.0" encoding="UTF-8" standalone="yes"?>
<Relationships xmlns="http://schemas.openxmlformats.org/package/2006/relationships"><Relationship Id="rId1" Type="http://schemas.openxmlformats.org/officeDocument/2006/relationships/image" Target="../media/image8.jpeg"/></Relationships>
</file>

<file path=xl/charts/_rels/chart16.xml.rels><?xml version="1.0" encoding="UTF-8" standalone="yes"?>
<Relationships xmlns="http://schemas.openxmlformats.org/package/2006/relationships"><Relationship Id="rId1" Type="http://schemas.openxmlformats.org/officeDocument/2006/relationships/image" Target="../media/image8.jpeg"/></Relationships>
</file>

<file path=xl/charts/_rels/chart17.xml.rels><?xml version="1.0" encoding="UTF-8" standalone="yes"?>
<Relationships xmlns="http://schemas.openxmlformats.org/package/2006/relationships"><Relationship Id="rId1" Type="http://schemas.openxmlformats.org/officeDocument/2006/relationships/image" Target="../media/image8.jpeg"/></Relationships>
</file>

<file path=xl/charts/_rels/chart18.xml.rels><?xml version="1.0" encoding="UTF-8" standalone="yes"?>
<Relationships xmlns="http://schemas.openxmlformats.org/package/2006/relationships"><Relationship Id="rId1" Type="http://schemas.openxmlformats.org/officeDocument/2006/relationships/image" Target="../media/image8.jpeg"/></Relationships>
</file>

<file path=xl/charts/_rels/chart19.xml.rels><?xml version="1.0" encoding="UTF-8" standalone="yes"?>
<Relationships xmlns="http://schemas.openxmlformats.org/package/2006/relationships"><Relationship Id="rId1" Type="http://schemas.openxmlformats.org/officeDocument/2006/relationships/image" Target="../media/image8.jpeg"/></Relationships>
</file>

<file path=xl/charts/_rels/chart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jpeg"/></Relationships>
</file>

<file path=xl/charts/_rels/chart20.xml.rels><?xml version="1.0" encoding="UTF-8" standalone="yes"?>
<Relationships xmlns="http://schemas.openxmlformats.org/package/2006/relationships"><Relationship Id="rId1" Type="http://schemas.openxmlformats.org/officeDocument/2006/relationships/image" Target="../media/image8.jpeg"/></Relationships>
</file>

<file path=xl/charts/_rels/chart21.xml.rels><?xml version="1.0" encoding="UTF-8" standalone="yes"?>
<Relationships xmlns="http://schemas.openxmlformats.org/package/2006/relationships"><Relationship Id="rId1" Type="http://schemas.openxmlformats.org/officeDocument/2006/relationships/image" Target="../media/image8.jpeg"/></Relationships>
</file>

<file path=xl/charts/_rels/chart22.xml.rels><?xml version="1.0" encoding="UTF-8" standalone="yes"?>
<Relationships xmlns="http://schemas.openxmlformats.org/package/2006/relationships"><Relationship Id="rId1" Type="http://schemas.openxmlformats.org/officeDocument/2006/relationships/image" Target="../media/image8.jpeg"/></Relationships>
</file>

<file path=xl/charts/_rels/chart23.xml.rels><?xml version="1.0" encoding="UTF-8" standalone="yes"?>
<Relationships xmlns="http://schemas.openxmlformats.org/package/2006/relationships"><Relationship Id="rId1" Type="http://schemas.openxmlformats.org/officeDocument/2006/relationships/image" Target="../media/image8.jpeg"/></Relationships>
</file>

<file path=xl/charts/_rels/chart24.xml.rels><?xml version="1.0" encoding="UTF-8" standalone="yes"?>
<Relationships xmlns="http://schemas.openxmlformats.org/package/2006/relationships"><Relationship Id="rId1" Type="http://schemas.openxmlformats.org/officeDocument/2006/relationships/image" Target="../media/image8.jpeg"/></Relationships>
</file>

<file path=xl/charts/_rels/chart25.xml.rels><?xml version="1.0" encoding="UTF-8" standalone="yes"?>
<Relationships xmlns="http://schemas.openxmlformats.org/package/2006/relationships"><Relationship Id="rId1" Type="http://schemas.openxmlformats.org/officeDocument/2006/relationships/image" Target="../media/image8.jpeg"/></Relationships>
</file>

<file path=xl/charts/_rels/chart26.xml.rels><?xml version="1.0" encoding="UTF-8" standalone="yes"?>
<Relationships xmlns="http://schemas.openxmlformats.org/package/2006/relationships"><Relationship Id="rId1" Type="http://schemas.openxmlformats.org/officeDocument/2006/relationships/image" Target="../media/image8.jpeg"/></Relationships>
</file>

<file path=xl/charts/_rels/chart27.xml.rels><?xml version="1.0" encoding="UTF-8" standalone="yes"?>
<Relationships xmlns="http://schemas.openxmlformats.org/package/2006/relationships"><Relationship Id="rId1" Type="http://schemas.openxmlformats.org/officeDocument/2006/relationships/image" Target="../media/image8.jpeg"/></Relationships>
</file>

<file path=xl/charts/_rels/chart28.xml.rels><?xml version="1.0" encoding="UTF-8" standalone="yes"?>
<Relationships xmlns="http://schemas.openxmlformats.org/package/2006/relationships"><Relationship Id="rId1" Type="http://schemas.openxmlformats.org/officeDocument/2006/relationships/image" Target="../media/image8.jpeg"/></Relationships>
</file>

<file path=xl/charts/_rels/chart29.xml.rels><?xml version="1.0" encoding="UTF-8" standalone="yes"?>
<Relationships xmlns="http://schemas.openxmlformats.org/package/2006/relationships"><Relationship Id="rId1" Type="http://schemas.openxmlformats.org/officeDocument/2006/relationships/image" Target="../media/image8.jpeg"/></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0.xml.rels><?xml version="1.0" encoding="UTF-8" standalone="yes"?>
<Relationships xmlns="http://schemas.openxmlformats.org/package/2006/relationships"><Relationship Id="rId1" Type="http://schemas.openxmlformats.org/officeDocument/2006/relationships/image" Target="../media/image8.jpeg"/></Relationships>
</file>

<file path=xl/charts/_rels/chart31.xml.rels><?xml version="1.0" encoding="UTF-8" standalone="yes"?>
<Relationships xmlns="http://schemas.openxmlformats.org/package/2006/relationships"><Relationship Id="rId1" Type="http://schemas.openxmlformats.org/officeDocument/2006/relationships/image" Target="../media/image8.jpeg"/></Relationships>
</file>

<file path=xl/charts/_rels/chart32.xml.rels><?xml version="1.0" encoding="UTF-8" standalone="yes"?>
<Relationships xmlns="http://schemas.openxmlformats.org/package/2006/relationships"><Relationship Id="rId1" Type="http://schemas.openxmlformats.org/officeDocument/2006/relationships/image" Target="../media/image8.jpeg"/></Relationships>
</file>

<file path=xl/charts/_rels/chart33.xml.rels><?xml version="1.0" encoding="UTF-8" standalone="yes"?>
<Relationships xmlns="http://schemas.openxmlformats.org/package/2006/relationships"><Relationship Id="rId1" Type="http://schemas.openxmlformats.org/officeDocument/2006/relationships/image" Target="../media/image8.jpeg"/></Relationships>
</file>

<file path=xl/charts/_rels/chart34.xml.rels><?xml version="1.0" encoding="UTF-8" standalone="yes"?>
<Relationships xmlns="http://schemas.openxmlformats.org/package/2006/relationships"><Relationship Id="rId1" Type="http://schemas.openxmlformats.org/officeDocument/2006/relationships/image" Target="../media/image8.jpeg"/></Relationships>
</file>

<file path=xl/charts/_rels/chart35.xml.rels><?xml version="1.0" encoding="UTF-8" standalone="yes"?>
<Relationships xmlns="http://schemas.openxmlformats.org/package/2006/relationships"><Relationship Id="rId1" Type="http://schemas.openxmlformats.org/officeDocument/2006/relationships/image" Target="../media/image8.jpeg"/></Relationships>
</file>

<file path=xl/charts/_rels/chart36.xml.rels><?xml version="1.0" encoding="UTF-8" standalone="yes"?>
<Relationships xmlns="http://schemas.openxmlformats.org/package/2006/relationships"><Relationship Id="rId1" Type="http://schemas.openxmlformats.org/officeDocument/2006/relationships/image" Target="../media/image8.jpeg"/></Relationships>
</file>

<file path=xl/charts/_rels/chart37.xml.rels><?xml version="1.0" encoding="UTF-8" standalone="yes"?>
<Relationships xmlns="http://schemas.openxmlformats.org/package/2006/relationships"><Relationship Id="rId1" Type="http://schemas.openxmlformats.org/officeDocument/2006/relationships/image" Target="../media/image8.jpeg"/></Relationships>
</file>

<file path=xl/charts/_rels/chart38.xml.rels><?xml version="1.0" encoding="UTF-8" standalone="yes"?>
<Relationships xmlns="http://schemas.openxmlformats.org/package/2006/relationships"><Relationship Id="rId1" Type="http://schemas.openxmlformats.org/officeDocument/2006/relationships/image" Target="../media/image8.jpeg"/></Relationships>
</file>

<file path=xl/charts/_rels/chart39.xml.rels><?xml version="1.0" encoding="UTF-8" standalone="yes"?>
<Relationships xmlns="http://schemas.openxmlformats.org/package/2006/relationships"><Relationship Id="rId1" Type="http://schemas.openxmlformats.org/officeDocument/2006/relationships/image" Target="../media/image8.jpe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0.xml.rels><?xml version="1.0" encoding="UTF-8" standalone="yes"?>
<Relationships xmlns="http://schemas.openxmlformats.org/package/2006/relationships"><Relationship Id="rId1" Type="http://schemas.openxmlformats.org/officeDocument/2006/relationships/image" Target="../media/image8.jpeg"/></Relationships>
</file>

<file path=xl/charts/_rels/chart41.xml.rels><?xml version="1.0" encoding="UTF-8" standalone="yes"?>
<Relationships xmlns="http://schemas.openxmlformats.org/package/2006/relationships"><Relationship Id="rId1" Type="http://schemas.openxmlformats.org/officeDocument/2006/relationships/image" Target="../media/image8.jpeg"/></Relationships>
</file>

<file path=xl/charts/_rels/chart42.xml.rels><?xml version="1.0" encoding="UTF-8" standalone="yes"?>
<Relationships xmlns="http://schemas.openxmlformats.org/package/2006/relationships"><Relationship Id="rId1" Type="http://schemas.openxmlformats.org/officeDocument/2006/relationships/image" Target="../media/image8.jpeg"/></Relationships>
</file>

<file path=xl/charts/_rels/chart43.xml.rels><?xml version="1.0" encoding="UTF-8" standalone="yes"?>
<Relationships xmlns="http://schemas.openxmlformats.org/package/2006/relationships"><Relationship Id="rId1" Type="http://schemas.openxmlformats.org/officeDocument/2006/relationships/image" Target="../media/image8.jpeg"/></Relationships>
</file>

<file path=xl/charts/_rels/chart44.xml.rels><?xml version="1.0" encoding="UTF-8" standalone="yes"?>
<Relationships xmlns="http://schemas.openxmlformats.org/package/2006/relationships"><Relationship Id="rId1" Type="http://schemas.openxmlformats.org/officeDocument/2006/relationships/image" Target="../media/image8.jpeg"/></Relationships>
</file>

<file path=xl/charts/_rels/chart45.xml.rels><?xml version="1.0" encoding="UTF-8" standalone="yes"?>
<Relationships xmlns="http://schemas.openxmlformats.org/package/2006/relationships"><Relationship Id="rId1" Type="http://schemas.openxmlformats.org/officeDocument/2006/relationships/image" Target="../media/image8.jpeg"/></Relationships>
</file>

<file path=xl/charts/_rels/chart46.xml.rels><?xml version="1.0" encoding="UTF-8" standalone="yes"?>
<Relationships xmlns="http://schemas.openxmlformats.org/package/2006/relationships"><Relationship Id="rId1" Type="http://schemas.openxmlformats.org/officeDocument/2006/relationships/image" Target="../media/image8.jpeg"/></Relationships>
</file>

<file path=xl/charts/_rels/chart47.xml.rels><?xml version="1.0" encoding="UTF-8" standalone="yes"?>
<Relationships xmlns="http://schemas.openxmlformats.org/package/2006/relationships"><Relationship Id="rId1" Type="http://schemas.openxmlformats.org/officeDocument/2006/relationships/image" Target="../media/image8.jpeg"/></Relationships>
</file>

<file path=xl/charts/_rels/chart48.xml.rels><?xml version="1.0" encoding="UTF-8" standalone="yes"?>
<Relationships xmlns="http://schemas.openxmlformats.org/package/2006/relationships"><Relationship Id="rId1" Type="http://schemas.openxmlformats.org/officeDocument/2006/relationships/image" Target="../media/image8.jpeg"/></Relationships>
</file>

<file path=xl/charts/_rels/chart49.xml.rels><?xml version="1.0" encoding="UTF-8" standalone="yes"?>
<Relationships xmlns="http://schemas.openxmlformats.org/package/2006/relationships"><Relationship Id="rId1" Type="http://schemas.openxmlformats.org/officeDocument/2006/relationships/image" Target="../media/image8.jpeg"/></Relationships>
</file>

<file path=xl/charts/_rels/chart5.xml.rels><?xml version="1.0" encoding="UTF-8" standalone="yes"?>
<Relationships xmlns="http://schemas.openxmlformats.org/package/2006/relationships"><Relationship Id="rId1" Type="http://schemas.openxmlformats.org/officeDocument/2006/relationships/image" Target="../media/image6.png"/></Relationships>
</file>

<file path=xl/charts/_rels/chart50.xml.rels><?xml version="1.0" encoding="UTF-8" standalone="yes"?>
<Relationships xmlns="http://schemas.openxmlformats.org/package/2006/relationships"><Relationship Id="rId1" Type="http://schemas.openxmlformats.org/officeDocument/2006/relationships/image" Target="../media/image8.jpeg"/></Relationships>
</file>

<file path=xl/charts/_rels/chart51.xml.rels><?xml version="1.0" encoding="UTF-8" standalone="yes"?>
<Relationships xmlns="http://schemas.openxmlformats.org/package/2006/relationships"><Relationship Id="rId1" Type="http://schemas.openxmlformats.org/officeDocument/2006/relationships/image" Target="../media/image8.jpeg"/></Relationships>
</file>

<file path=xl/charts/_rels/chart52.xml.rels><?xml version="1.0" encoding="UTF-8" standalone="yes"?>
<Relationships xmlns="http://schemas.openxmlformats.org/package/2006/relationships"><Relationship Id="rId1" Type="http://schemas.openxmlformats.org/officeDocument/2006/relationships/image" Target="../media/image8.jpeg"/></Relationships>
</file>

<file path=xl/charts/_rels/chart53.xml.rels><?xml version="1.0" encoding="UTF-8" standalone="yes"?>
<Relationships xmlns="http://schemas.openxmlformats.org/package/2006/relationships"><Relationship Id="rId1" Type="http://schemas.openxmlformats.org/officeDocument/2006/relationships/image" Target="../media/image8.jpeg"/></Relationships>
</file>

<file path=xl/charts/_rels/chart54.xml.rels><?xml version="1.0" encoding="UTF-8" standalone="yes"?>
<Relationships xmlns="http://schemas.openxmlformats.org/package/2006/relationships"><Relationship Id="rId1" Type="http://schemas.openxmlformats.org/officeDocument/2006/relationships/image" Target="../media/image8.jpeg"/></Relationships>
</file>

<file path=xl/charts/_rels/chart55.xml.rels><?xml version="1.0" encoding="UTF-8" standalone="yes"?>
<Relationships xmlns="http://schemas.openxmlformats.org/package/2006/relationships"><Relationship Id="rId1" Type="http://schemas.openxmlformats.org/officeDocument/2006/relationships/image" Target="../media/image8.jpeg"/></Relationships>
</file>

<file path=xl/charts/_rels/chart56.xml.rels><?xml version="1.0" encoding="UTF-8" standalone="yes"?>
<Relationships xmlns="http://schemas.openxmlformats.org/package/2006/relationships"><Relationship Id="rId1" Type="http://schemas.openxmlformats.org/officeDocument/2006/relationships/image" Target="../media/image8.jpeg"/></Relationships>
</file>

<file path=xl/charts/_rels/chart57.xml.rels><?xml version="1.0" encoding="UTF-8" standalone="yes"?>
<Relationships xmlns="http://schemas.openxmlformats.org/package/2006/relationships"><Relationship Id="rId1" Type="http://schemas.openxmlformats.org/officeDocument/2006/relationships/image" Target="../media/image8.jpeg"/></Relationships>
</file>

<file path=xl/charts/_rels/chart58.xml.rels><?xml version="1.0" encoding="UTF-8" standalone="yes"?>
<Relationships xmlns="http://schemas.openxmlformats.org/package/2006/relationships"><Relationship Id="rId1" Type="http://schemas.openxmlformats.org/officeDocument/2006/relationships/image" Target="../media/image8.jpeg"/></Relationships>
</file>

<file path=xl/charts/_rels/chart59.xml.rels><?xml version="1.0" encoding="UTF-8" standalone="yes"?>
<Relationships xmlns="http://schemas.openxmlformats.org/package/2006/relationships"><Relationship Id="rId1" Type="http://schemas.openxmlformats.org/officeDocument/2006/relationships/image" Target="../media/image8.jpeg"/></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0.xml.rels><?xml version="1.0" encoding="UTF-8" standalone="yes"?>
<Relationships xmlns="http://schemas.openxmlformats.org/package/2006/relationships"><Relationship Id="rId1" Type="http://schemas.openxmlformats.org/officeDocument/2006/relationships/image" Target="../media/image8.jpeg"/></Relationships>
</file>

<file path=xl/charts/_rels/chart61.xml.rels><?xml version="1.0" encoding="UTF-8" standalone="yes"?>
<Relationships xmlns="http://schemas.openxmlformats.org/package/2006/relationships"><Relationship Id="rId1" Type="http://schemas.openxmlformats.org/officeDocument/2006/relationships/image" Target="../media/image8.jpeg"/></Relationships>
</file>

<file path=xl/charts/_rels/chart62.xml.rels><?xml version="1.0" encoding="UTF-8" standalone="yes"?>
<Relationships xmlns="http://schemas.openxmlformats.org/package/2006/relationships"><Relationship Id="rId1" Type="http://schemas.openxmlformats.org/officeDocument/2006/relationships/image" Target="../media/image9.jpeg"/></Relationships>
</file>

<file path=xl/charts/_rels/chart63.xml.rels><?xml version="1.0" encoding="UTF-8" standalone="yes"?>
<Relationships xmlns="http://schemas.openxmlformats.org/package/2006/relationships"><Relationship Id="rId1" Type="http://schemas.openxmlformats.org/officeDocument/2006/relationships/image" Target="../media/image9.jpeg"/></Relationships>
</file>

<file path=xl/charts/_rels/chart64.xml.rels><?xml version="1.0" encoding="UTF-8" standalone="yes"?>
<Relationships xmlns="http://schemas.openxmlformats.org/package/2006/relationships"><Relationship Id="rId1" Type="http://schemas.openxmlformats.org/officeDocument/2006/relationships/image" Target="../media/image9.jpeg"/></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結果!$S$13</c:f>
              <c:numCache>
                <c:formatCode>#,##0.0;[Red]\-#,##0.0</c:formatCode>
                <c:ptCount val="1"/>
                <c:pt idx="0">
                  <c:v>0</c:v>
                </c:pt>
              </c:numCache>
            </c:numRef>
          </c:val>
          <c:extLst>
            <c:ext xmlns:c16="http://schemas.microsoft.com/office/drawing/2014/chart" uri="{C3380CC4-5D6E-409C-BE32-E72D297353CC}">
              <c16:uniqueId val="{00000000-B245-4212-8F9A-9D216E8762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結果!$S$14</c:f>
              <c:numCache>
                <c:formatCode>#,##0.0;[Red]\-#,##0.0</c:formatCode>
                <c:ptCount val="1"/>
                <c:pt idx="0">
                  <c:v>0</c:v>
                </c:pt>
              </c:numCache>
            </c:numRef>
          </c:val>
          <c:extLst>
            <c:ext xmlns:c16="http://schemas.microsoft.com/office/drawing/2014/chart" uri="{C3380CC4-5D6E-409C-BE32-E72D297353CC}">
              <c16:uniqueId val="{00000001-B245-4212-8F9A-9D216E876263}"/>
            </c:ext>
          </c:extLst>
        </c:ser>
        <c:dLbls>
          <c:showLegendKey val="0"/>
          <c:showVal val="0"/>
          <c:showCatName val="0"/>
          <c:showSerName val="0"/>
          <c:showPercent val="0"/>
          <c:showBubbleSize val="0"/>
        </c:dLbls>
        <c:gapWidth val="50"/>
        <c:overlap val="100"/>
        <c:axId val="66943616"/>
        <c:axId val="68252032"/>
      </c:barChart>
      <c:catAx>
        <c:axId val="66943616"/>
        <c:scaling>
          <c:orientation val="minMax"/>
        </c:scaling>
        <c:delete val="1"/>
        <c:axPos val="l"/>
        <c:numFmt formatCode="General" sourceLinked="1"/>
        <c:majorTickMark val="out"/>
        <c:minorTickMark val="none"/>
        <c:tickLblPos val="nextTo"/>
        <c:crossAx val="68252032"/>
        <c:crosses val="autoZero"/>
        <c:auto val="1"/>
        <c:lblAlgn val="ctr"/>
        <c:lblOffset val="100"/>
        <c:noMultiLvlLbl val="0"/>
      </c:catAx>
      <c:valAx>
        <c:axId val="68252032"/>
        <c:scaling>
          <c:orientation val="minMax"/>
        </c:scaling>
        <c:delete val="1"/>
        <c:axPos val="b"/>
        <c:numFmt formatCode="0%" sourceLinked="1"/>
        <c:majorTickMark val="out"/>
        <c:minorTickMark val="none"/>
        <c:tickLblPos val="nextTo"/>
        <c:crossAx val="6694361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350-430D-998B-7DD901DEADA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350-430D-998B-7DD901DEADA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350-430D-998B-7DD901DEADA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結果!$X$60:$X$62</c:f>
              <c:strCache>
                <c:ptCount val="3"/>
                <c:pt idx="0">
                  <c:v>地球温暖化への配慮</c:v>
                </c:pt>
                <c:pt idx="1">
                  <c:v>地域環境への配慮</c:v>
                </c:pt>
                <c:pt idx="2">
                  <c:v>周辺環境への配慮</c:v>
                </c:pt>
              </c:strCache>
            </c:strRef>
          </c:cat>
          <c:val>
            <c:numRef>
              <c:f>結果!$Y$60:$Y$62</c:f>
              <c:numCache>
                <c:formatCode>0.0_ </c:formatCode>
                <c:ptCount val="3"/>
                <c:pt idx="0">
                  <c:v>0</c:v>
                </c:pt>
                <c:pt idx="1">
                  <c:v>2.8</c:v>
                </c:pt>
                <c:pt idx="2">
                  <c:v>3</c:v>
                </c:pt>
              </c:numCache>
            </c:numRef>
          </c:val>
          <c:extLst>
            <c:ext xmlns:c16="http://schemas.microsoft.com/office/drawing/2014/chart" uri="{C3380CC4-5D6E-409C-BE32-E72D297353CC}">
              <c16:uniqueId val="{00000003-C350-430D-998B-7DD901DEADA9}"/>
            </c:ext>
          </c:extLst>
        </c:ser>
        <c:dLbls>
          <c:showLegendKey val="0"/>
          <c:showVal val="1"/>
          <c:showCatName val="0"/>
          <c:showSerName val="0"/>
          <c:showPercent val="0"/>
          <c:showBubbleSize val="0"/>
        </c:dLbls>
        <c:gapWidth val="70"/>
        <c:axId val="69734400"/>
        <c:axId val="69735936"/>
      </c:barChart>
      <c:catAx>
        <c:axId val="69734400"/>
        <c:scaling>
          <c:orientation val="minMax"/>
        </c:scaling>
        <c:delete val="0"/>
        <c:axPos val="b"/>
        <c:numFmt formatCode="General" sourceLinked="1"/>
        <c:majorTickMark val="none"/>
        <c:minorTickMark val="none"/>
        <c:tickLblPos val="none"/>
        <c:spPr>
          <a:ln w="3175">
            <a:solidFill>
              <a:srgbClr val="000000"/>
            </a:solidFill>
            <a:prstDash val="solid"/>
          </a:ln>
        </c:spPr>
        <c:crossAx val="69735936"/>
        <c:crossesAt val="0"/>
        <c:auto val="1"/>
        <c:lblAlgn val="ctr"/>
        <c:lblOffset val="100"/>
        <c:tickMarkSkip val="1"/>
        <c:noMultiLvlLbl val="0"/>
      </c:catAx>
      <c:valAx>
        <c:axId val="69735936"/>
        <c:scaling>
          <c:orientation val="minMax"/>
          <c:max val="5"/>
          <c:min val="1"/>
        </c:scaling>
        <c:delete val="1"/>
        <c:axPos val="l"/>
        <c:majorGridlines>
          <c:spPr>
            <a:ln w="3175">
              <a:solidFill>
                <a:srgbClr val="FF0000"/>
              </a:solidFill>
              <a:prstDash val="solid"/>
            </a:ln>
          </c:spPr>
        </c:majorGridlines>
        <c:minorGridlines>
          <c:spPr>
            <a:ln>
              <a:solidFill>
                <a:schemeClr val="tx1"/>
              </a:solidFill>
            </a:ln>
          </c:spPr>
        </c:minorGridlines>
        <c:numFmt formatCode="General" sourceLinked="0"/>
        <c:majorTickMark val="in"/>
        <c:minorTickMark val="none"/>
        <c:tickLblPos val="nextTo"/>
        <c:crossAx val="69734400"/>
        <c:crosses val="autoZero"/>
        <c:crossBetween val="between"/>
        <c:majorUnit val="2"/>
        <c:minorUnit val="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38C8-4D90-A326-2780D2F4ED50}"/>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38C8-4D90-A326-2780D2F4ED50}"/>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38C8-4D90-A326-2780D2F4ED50}"/>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38C8-4D90-A326-2780D2F4ED50}"/>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結果!$R$49:$R$52</c:f>
              <c:strCache>
                <c:ptCount val="4"/>
                <c:pt idx="0">
                  <c:v>音環境</c:v>
                </c:pt>
                <c:pt idx="1">
                  <c:v>温熱環境</c:v>
                </c:pt>
                <c:pt idx="2">
                  <c:v>光・視環境</c:v>
                </c:pt>
                <c:pt idx="3">
                  <c:v>空気質環境</c:v>
                </c:pt>
              </c:strCache>
            </c:strRef>
          </c:cat>
          <c:val>
            <c:numRef>
              <c:f>結果!$S$49:$S$52</c:f>
              <c:numCache>
                <c:formatCode>0.0;_Ā</c:formatCode>
                <c:ptCount val="4"/>
                <c:pt idx="0">
                  <c:v>3</c:v>
                </c:pt>
                <c:pt idx="1">
                  <c:v>3.2</c:v>
                </c:pt>
                <c:pt idx="2">
                  <c:v>3</c:v>
                </c:pt>
                <c:pt idx="3">
                  <c:v>3</c:v>
                </c:pt>
              </c:numCache>
            </c:numRef>
          </c:val>
          <c:extLst>
            <c:ext xmlns:c16="http://schemas.microsoft.com/office/drawing/2014/chart" uri="{C3380CC4-5D6E-409C-BE32-E72D297353CC}">
              <c16:uniqueId val="{00000004-38C8-4D90-A326-2780D2F4ED50}"/>
            </c:ext>
          </c:extLst>
        </c:ser>
        <c:dLbls>
          <c:showLegendKey val="0"/>
          <c:showVal val="1"/>
          <c:showCatName val="0"/>
          <c:showSerName val="0"/>
          <c:showPercent val="0"/>
          <c:showBubbleSize val="0"/>
        </c:dLbls>
        <c:gapWidth val="40"/>
        <c:axId val="69480832"/>
        <c:axId val="69482368"/>
      </c:barChart>
      <c:catAx>
        <c:axId val="69480832"/>
        <c:scaling>
          <c:orientation val="minMax"/>
        </c:scaling>
        <c:delete val="0"/>
        <c:axPos val="b"/>
        <c:numFmt formatCode="General" sourceLinked="1"/>
        <c:majorTickMark val="none"/>
        <c:minorTickMark val="none"/>
        <c:tickLblPos val="none"/>
        <c:spPr>
          <a:ln w="3175">
            <a:solidFill>
              <a:srgbClr val="000000"/>
            </a:solidFill>
            <a:prstDash val="solid"/>
          </a:ln>
        </c:spPr>
        <c:crossAx val="69482368"/>
        <c:crossesAt val="0"/>
        <c:auto val="1"/>
        <c:lblAlgn val="ctr"/>
        <c:lblOffset val="100"/>
        <c:tickMarkSkip val="1"/>
        <c:noMultiLvlLbl val="0"/>
      </c:catAx>
      <c:valAx>
        <c:axId val="69482368"/>
        <c:scaling>
          <c:orientation val="minMax"/>
          <c:max val="5"/>
          <c:min val="1"/>
        </c:scaling>
        <c:delete val="1"/>
        <c:axPos val="l"/>
        <c:majorGridlines>
          <c:spPr>
            <a:ln w="3175">
              <a:solidFill>
                <a:srgbClr val="FF0000"/>
              </a:solidFill>
              <a:prstDash val="solid"/>
            </a:ln>
          </c:spPr>
        </c:majorGridlines>
        <c:minorGridlines>
          <c:spPr>
            <a:ln>
              <a:solidFill>
                <a:schemeClr val="tx1"/>
              </a:solidFill>
            </a:ln>
          </c:spPr>
        </c:minorGridlines>
        <c:numFmt formatCode="General" sourceLinked="0"/>
        <c:majorTickMark val="in"/>
        <c:minorTickMark val="none"/>
        <c:tickLblPos val="nextTo"/>
        <c:crossAx val="69480832"/>
        <c:crosses val="autoZero"/>
        <c:crossBetween val="between"/>
        <c:majorUnit val="2"/>
        <c:minorUnit val="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3.5</c:v>
              </c:pt>
            </c:numLit>
          </c:val>
          <c:extLst>
            <c:ext xmlns:c16="http://schemas.microsoft.com/office/drawing/2014/chart" uri="{C3380CC4-5D6E-409C-BE32-E72D297353CC}">
              <c16:uniqueId val="{00000000-002D-40C5-8692-9C7ECE0A3EF4}"/>
            </c:ext>
          </c:extLst>
        </c:ser>
        <c:dLbls>
          <c:showLegendKey val="0"/>
          <c:showVal val="0"/>
          <c:showCatName val="0"/>
          <c:showSerName val="0"/>
          <c:showPercent val="0"/>
          <c:showBubbleSize val="0"/>
        </c:dLbls>
        <c:gapWidth val="0"/>
        <c:axId val="67941888"/>
        <c:axId val="67943424"/>
      </c:barChart>
      <c:catAx>
        <c:axId val="67941888"/>
        <c:scaling>
          <c:orientation val="minMax"/>
        </c:scaling>
        <c:delete val="1"/>
        <c:axPos val="l"/>
        <c:majorTickMark val="out"/>
        <c:minorTickMark val="none"/>
        <c:tickLblPos val="nextTo"/>
        <c:crossAx val="67943424"/>
        <c:crossesAt val="0"/>
        <c:auto val="1"/>
        <c:lblAlgn val="ctr"/>
        <c:lblOffset val="100"/>
        <c:noMultiLvlLbl val="0"/>
      </c:catAx>
      <c:valAx>
        <c:axId val="67943424"/>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67941888"/>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1.5</c:v>
              </c:pt>
            </c:numLit>
          </c:val>
          <c:extLst>
            <c:ext xmlns:c16="http://schemas.microsoft.com/office/drawing/2014/chart" uri="{C3380CC4-5D6E-409C-BE32-E72D297353CC}">
              <c16:uniqueId val="{00000000-4E71-42A8-8AA9-97DC0AD44732}"/>
            </c:ext>
          </c:extLst>
        </c:ser>
        <c:dLbls>
          <c:showLegendKey val="0"/>
          <c:showVal val="0"/>
          <c:showCatName val="0"/>
          <c:showSerName val="0"/>
          <c:showPercent val="0"/>
          <c:showBubbleSize val="0"/>
        </c:dLbls>
        <c:gapWidth val="0"/>
        <c:axId val="67959040"/>
        <c:axId val="67072000"/>
      </c:barChart>
      <c:catAx>
        <c:axId val="67959040"/>
        <c:scaling>
          <c:orientation val="minMax"/>
        </c:scaling>
        <c:delete val="1"/>
        <c:axPos val="l"/>
        <c:majorTickMark val="out"/>
        <c:minorTickMark val="none"/>
        <c:tickLblPos val="nextTo"/>
        <c:crossAx val="67072000"/>
        <c:crossesAt val="0"/>
        <c:auto val="1"/>
        <c:lblAlgn val="ctr"/>
        <c:lblOffset val="100"/>
        <c:noMultiLvlLbl val="0"/>
      </c:catAx>
      <c:valAx>
        <c:axId val="67072000"/>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67959040"/>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3</c:v>
              </c:pt>
            </c:numLit>
          </c:val>
          <c:extLst>
            <c:ext xmlns:c16="http://schemas.microsoft.com/office/drawing/2014/chart" uri="{C3380CC4-5D6E-409C-BE32-E72D297353CC}">
              <c16:uniqueId val="{00000000-CEDC-491D-8497-EE8149651FFF}"/>
            </c:ext>
          </c:extLst>
        </c:ser>
        <c:dLbls>
          <c:showLegendKey val="0"/>
          <c:showVal val="0"/>
          <c:showCatName val="0"/>
          <c:showSerName val="0"/>
          <c:showPercent val="0"/>
          <c:showBubbleSize val="0"/>
        </c:dLbls>
        <c:gapWidth val="0"/>
        <c:axId val="67079168"/>
        <c:axId val="67080960"/>
      </c:barChart>
      <c:catAx>
        <c:axId val="67079168"/>
        <c:scaling>
          <c:orientation val="minMax"/>
        </c:scaling>
        <c:delete val="1"/>
        <c:axPos val="l"/>
        <c:majorTickMark val="out"/>
        <c:minorTickMark val="none"/>
        <c:tickLblPos val="nextTo"/>
        <c:crossAx val="67080960"/>
        <c:crossesAt val="0"/>
        <c:auto val="1"/>
        <c:lblAlgn val="ctr"/>
        <c:lblOffset val="100"/>
        <c:noMultiLvlLbl val="0"/>
      </c:catAx>
      <c:valAx>
        <c:axId val="67080960"/>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67079168"/>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4.5</c:v>
              </c:pt>
            </c:numLit>
          </c:val>
          <c:extLst>
            <c:ext xmlns:c16="http://schemas.microsoft.com/office/drawing/2014/chart" uri="{C3380CC4-5D6E-409C-BE32-E72D297353CC}">
              <c16:uniqueId val="{00000000-7FAF-432C-B782-F85394BCB0FB}"/>
            </c:ext>
          </c:extLst>
        </c:ser>
        <c:dLbls>
          <c:showLegendKey val="0"/>
          <c:showVal val="0"/>
          <c:showCatName val="0"/>
          <c:showSerName val="0"/>
          <c:showPercent val="0"/>
          <c:showBubbleSize val="0"/>
        </c:dLbls>
        <c:gapWidth val="0"/>
        <c:axId val="71376896"/>
        <c:axId val="71378432"/>
      </c:barChart>
      <c:catAx>
        <c:axId val="71376896"/>
        <c:scaling>
          <c:orientation val="minMax"/>
        </c:scaling>
        <c:delete val="1"/>
        <c:axPos val="l"/>
        <c:majorTickMark val="out"/>
        <c:minorTickMark val="none"/>
        <c:tickLblPos val="nextTo"/>
        <c:crossAx val="71378432"/>
        <c:crossesAt val="0"/>
        <c:auto val="1"/>
        <c:lblAlgn val="ctr"/>
        <c:lblOffset val="100"/>
        <c:noMultiLvlLbl val="0"/>
      </c:catAx>
      <c:valAx>
        <c:axId val="7137843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1376896"/>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2.02999999999999</c:v>
              </c:pt>
            </c:numLit>
          </c:val>
          <c:extLst>
            <c:ext xmlns:c16="http://schemas.microsoft.com/office/drawing/2014/chart" uri="{C3380CC4-5D6E-409C-BE32-E72D297353CC}">
              <c16:uniqueId val="{00000000-8E7A-4F38-9D92-72C7D6599FC3}"/>
            </c:ext>
          </c:extLst>
        </c:ser>
        <c:dLbls>
          <c:showLegendKey val="0"/>
          <c:showVal val="0"/>
          <c:showCatName val="0"/>
          <c:showSerName val="0"/>
          <c:showPercent val="0"/>
          <c:showBubbleSize val="0"/>
        </c:dLbls>
        <c:gapWidth val="0"/>
        <c:axId val="71389952"/>
        <c:axId val="71391488"/>
      </c:barChart>
      <c:catAx>
        <c:axId val="71389952"/>
        <c:scaling>
          <c:orientation val="minMax"/>
        </c:scaling>
        <c:delete val="1"/>
        <c:axPos val="l"/>
        <c:majorTickMark val="out"/>
        <c:minorTickMark val="none"/>
        <c:tickLblPos val="nextTo"/>
        <c:crossAx val="71391488"/>
        <c:crossesAt val="0"/>
        <c:auto val="1"/>
        <c:lblAlgn val="ctr"/>
        <c:lblOffset val="100"/>
        <c:noMultiLvlLbl val="0"/>
      </c:catAx>
      <c:valAx>
        <c:axId val="71391488"/>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1389952"/>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F536-4D7B-9C50-C272B97951F0}"/>
            </c:ext>
          </c:extLst>
        </c:ser>
        <c:dLbls>
          <c:showLegendKey val="0"/>
          <c:showVal val="0"/>
          <c:showCatName val="0"/>
          <c:showSerName val="0"/>
          <c:showPercent val="0"/>
          <c:showBubbleSize val="0"/>
        </c:dLbls>
        <c:gapWidth val="0"/>
        <c:axId val="71419392"/>
        <c:axId val="71420928"/>
      </c:barChart>
      <c:catAx>
        <c:axId val="71419392"/>
        <c:scaling>
          <c:orientation val="minMax"/>
        </c:scaling>
        <c:delete val="1"/>
        <c:axPos val="l"/>
        <c:majorTickMark val="out"/>
        <c:minorTickMark val="none"/>
        <c:tickLblPos val="nextTo"/>
        <c:crossAx val="71420928"/>
        <c:crossesAt val="0"/>
        <c:auto val="1"/>
        <c:lblAlgn val="ctr"/>
        <c:lblOffset val="100"/>
        <c:noMultiLvlLbl val="0"/>
      </c:catAx>
      <c:valAx>
        <c:axId val="71420928"/>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1419392"/>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CD95-483B-B91E-60C334D5C583}"/>
            </c:ext>
          </c:extLst>
        </c:ser>
        <c:dLbls>
          <c:showLegendKey val="0"/>
          <c:showVal val="0"/>
          <c:showCatName val="0"/>
          <c:showSerName val="0"/>
          <c:showPercent val="0"/>
          <c:showBubbleSize val="0"/>
        </c:dLbls>
        <c:gapWidth val="0"/>
        <c:axId val="71502080"/>
        <c:axId val="71524352"/>
      </c:barChart>
      <c:catAx>
        <c:axId val="71502080"/>
        <c:scaling>
          <c:orientation val="minMax"/>
        </c:scaling>
        <c:delete val="1"/>
        <c:axPos val="l"/>
        <c:majorTickMark val="out"/>
        <c:minorTickMark val="none"/>
        <c:tickLblPos val="nextTo"/>
        <c:crossAx val="71524352"/>
        <c:crossesAt val="0"/>
        <c:auto val="1"/>
        <c:lblAlgn val="ctr"/>
        <c:lblOffset val="100"/>
        <c:noMultiLvlLbl val="0"/>
      </c:catAx>
      <c:valAx>
        <c:axId val="7152435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1502080"/>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0437-4946-9BA3-369B67FE27EA}"/>
            </c:ext>
          </c:extLst>
        </c:ser>
        <c:dLbls>
          <c:showLegendKey val="0"/>
          <c:showVal val="0"/>
          <c:showCatName val="0"/>
          <c:showSerName val="0"/>
          <c:showPercent val="0"/>
          <c:showBubbleSize val="0"/>
        </c:dLbls>
        <c:gapWidth val="0"/>
        <c:axId val="71552000"/>
        <c:axId val="71561984"/>
      </c:barChart>
      <c:catAx>
        <c:axId val="71552000"/>
        <c:scaling>
          <c:orientation val="minMax"/>
        </c:scaling>
        <c:delete val="1"/>
        <c:axPos val="l"/>
        <c:majorTickMark val="out"/>
        <c:minorTickMark val="none"/>
        <c:tickLblPos val="nextTo"/>
        <c:crossAx val="71561984"/>
        <c:crossesAt val="0"/>
        <c:auto val="1"/>
        <c:lblAlgn val="ctr"/>
        <c:lblOffset val="100"/>
        <c:noMultiLvlLbl val="0"/>
      </c:catAx>
      <c:valAx>
        <c:axId val="71561984"/>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1552000"/>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B1CF-4550-B192-3D300CD5CDA6}"/>
              </c:ext>
            </c:extLst>
          </c:dPt>
          <c:cat>
            <c:strRef>
              <c:f>結果!$R$36</c:f>
              <c:strCache>
                <c:ptCount val="1"/>
                <c:pt idx="0">
                  <c:v>Rank(green star)</c:v>
                </c:pt>
              </c:strCache>
            </c:strRef>
          </c:cat>
          <c:val>
            <c:numRef>
              <c:f>結果!$S$36</c:f>
              <c:numCache>
                <c:formatCode>#,##0.0;[Red]\-#,##0.0</c:formatCode>
                <c:ptCount val="1"/>
                <c:pt idx="0">
                  <c:v>0</c:v>
                </c:pt>
              </c:numCache>
            </c:numRef>
          </c:val>
          <c:extLst>
            <c:ext xmlns:c16="http://schemas.microsoft.com/office/drawing/2014/chart" uri="{C3380CC4-5D6E-409C-BE32-E72D297353CC}">
              <c16:uniqueId val="{00000002-B1CF-4550-B192-3D300CD5CDA6}"/>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結果!$R$36</c:f>
              <c:strCache>
                <c:ptCount val="1"/>
                <c:pt idx="0">
                  <c:v>Rank(green star)</c:v>
                </c:pt>
              </c:strCache>
            </c:strRef>
          </c:cat>
          <c:val>
            <c:numRef>
              <c:f>結果!$S$37</c:f>
              <c:numCache>
                <c:formatCode>#,##0.0;[Red]\-#,##0.0</c:formatCode>
                <c:ptCount val="1"/>
                <c:pt idx="0">
                  <c:v>0</c:v>
                </c:pt>
              </c:numCache>
            </c:numRef>
          </c:val>
          <c:extLst>
            <c:ext xmlns:c16="http://schemas.microsoft.com/office/drawing/2014/chart" uri="{C3380CC4-5D6E-409C-BE32-E72D297353CC}">
              <c16:uniqueId val="{00000003-B1CF-4550-B192-3D300CD5CDA6}"/>
            </c:ext>
          </c:extLst>
        </c:ser>
        <c:dLbls>
          <c:showLegendKey val="0"/>
          <c:showVal val="0"/>
          <c:showCatName val="0"/>
          <c:showSerName val="0"/>
          <c:showPercent val="0"/>
          <c:showBubbleSize val="0"/>
        </c:dLbls>
        <c:gapWidth val="50"/>
        <c:overlap val="100"/>
        <c:axId val="68551424"/>
        <c:axId val="68552960"/>
      </c:barChart>
      <c:catAx>
        <c:axId val="68551424"/>
        <c:scaling>
          <c:orientation val="minMax"/>
        </c:scaling>
        <c:delete val="1"/>
        <c:axPos val="l"/>
        <c:numFmt formatCode="General" sourceLinked="1"/>
        <c:majorTickMark val="out"/>
        <c:minorTickMark val="none"/>
        <c:tickLblPos val="nextTo"/>
        <c:crossAx val="68552960"/>
        <c:crosses val="autoZero"/>
        <c:auto val="1"/>
        <c:lblAlgn val="ctr"/>
        <c:lblOffset val="100"/>
        <c:noMultiLvlLbl val="0"/>
      </c:catAx>
      <c:valAx>
        <c:axId val="68552960"/>
        <c:scaling>
          <c:orientation val="minMax"/>
        </c:scaling>
        <c:delete val="1"/>
        <c:axPos val="b"/>
        <c:numFmt formatCode="0%" sourceLinked="1"/>
        <c:majorTickMark val="out"/>
        <c:minorTickMark val="none"/>
        <c:tickLblPos val="nextTo"/>
        <c:crossAx val="6855142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7BB3-41AF-92D7-21AE04732B98}"/>
            </c:ext>
          </c:extLst>
        </c:ser>
        <c:dLbls>
          <c:showLegendKey val="0"/>
          <c:showVal val="0"/>
          <c:showCatName val="0"/>
          <c:showSerName val="0"/>
          <c:showPercent val="0"/>
          <c:showBubbleSize val="0"/>
        </c:dLbls>
        <c:gapWidth val="0"/>
        <c:axId val="71585792"/>
        <c:axId val="71587328"/>
      </c:barChart>
      <c:catAx>
        <c:axId val="71585792"/>
        <c:scaling>
          <c:orientation val="minMax"/>
        </c:scaling>
        <c:delete val="1"/>
        <c:axPos val="l"/>
        <c:majorTickMark val="out"/>
        <c:minorTickMark val="none"/>
        <c:tickLblPos val="nextTo"/>
        <c:crossAx val="71587328"/>
        <c:crossesAt val="0"/>
        <c:auto val="1"/>
        <c:lblAlgn val="ctr"/>
        <c:lblOffset val="100"/>
        <c:noMultiLvlLbl val="0"/>
      </c:catAx>
      <c:valAx>
        <c:axId val="71587328"/>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1585792"/>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73E9-4048-8119-9F37C7163D82}"/>
            </c:ext>
          </c:extLst>
        </c:ser>
        <c:dLbls>
          <c:showLegendKey val="0"/>
          <c:showVal val="0"/>
          <c:showCatName val="0"/>
          <c:showSerName val="0"/>
          <c:showPercent val="0"/>
          <c:showBubbleSize val="0"/>
        </c:dLbls>
        <c:gapWidth val="0"/>
        <c:axId val="71611136"/>
        <c:axId val="71612672"/>
      </c:barChart>
      <c:catAx>
        <c:axId val="71611136"/>
        <c:scaling>
          <c:orientation val="minMax"/>
        </c:scaling>
        <c:delete val="1"/>
        <c:axPos val="l"/>
        <c:majorTickMark val="out"/>
        <c:minorTickMark val="none"/>
        <c:tickLblPos val="nextTo"/>
        <c:crossAx val="71612672"/>
        <c:crossesAt val="0"/>
        <c:auto val="1"/>
        <c:lblAlgn val="ctr"/>
        <c:lblOffset val="100"/>
        <c:noMultiLvlLbl val="0"/>
      </c:catAx>
      <c:valAx>
        <c:axId val="7161267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1611136"/>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D47C-4A00-8663-534D56242514}"/>
            </c:ext>
          </c:extLst>
        </c:ser>
        <c:dLbls>
          <c:showLegendKey val="0"/>
          <c:showVal val="0"/>
          <c:showCatName val="0"/>
          <c:showSerName val="0"/>
          <c:showPercent val="0"/>
          <c:showBubbleSize val="0"/>
        </c:dLbls>
        <c:gapWidth val="0"/>
        <c:axId val="71628288"/>
        <c:axId val="71629824"/>
      </c:barChart>
      <c:catAx>
        <c:axId val="71628288"/>
        <c:scaling>
          <c:orientation val="minMax"/>
        </c:scaling>
        <c:delete val="1"/>
        <c:axPos val="l"/>
        <c:majorTickMark val="out"/>
        <c:minorTickMark val="none"/>
        <c:tickLblPos val="nextTo"/>
        <c:crossAx val="71629824"/>
        <c:crossesAt val="0"/>
        <c:auto val="1"/>
        <c:lblAlgn val="ctr"/>
        <c:lblOffset val="100"/>
        <c:noMultiLvlLbl val="0"/>
      </c:catAx>
      <c:valAx>
        <c:axId val="71629824"/>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1628288"/>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AEEC-49B0-870E-17AC3251902C}"/>
            </c:ext>
          </c:extLst>
        </c:ser>
        <c:dLbls>
          <c:showLegendKey val="0"/>
          <c:showVal val="0"/>
          <c:showCatName val="0"/>
          <c:showSerName val="0"/>
          <c:showPercent val="0"/>
          <c:showBubbleSize val="0"/>
        </c:dLbls>
        <c:gapWidth val="0"/>
        <c:axId val="71932160"/>
        <c:axId val="71938048"/>
      </c:barChart>
      <c:catAx>
        <c:axId val="71932160"/>
        <c:scaling>
          <c:orientation val="minMax"/>
        </c:scaling>
        <c:delete val="1"/>
        <c:axPos val="l"/>
        <c:majorTickMark val="out"/>
        <c:minorTickMark val="none"/>
        <c:tickLblPos val="nextTo"/>
        <c:crossAx val="71938048"/>
        <c:crossesAt val="0"/>
        <c:auto val="1"/>
        <c:lblAlgn val="ctr"/>
        <c:lblOffset val="100"/>
        <c:noMultiLvlLbl val="0"/>
      </c:catAx>
      <c:valAx>
        <c:axId val="71938048"/>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1932160"/>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38FE-4AAD-A5E8-07A6EE5076F6}"/>
            </c:ext>
          </c:extLst>
        </c:ser>
        <c:dLbls>
          <c:showLegendKey val="0"/>
          <c:showVal val="0"/>
          <c:showCatName val="0"/>
          <c:showSerName val="0"/>
          <c:showPercent val="0"/>
          <c:showBubbleSize val="0"/>
        </c:dLbls>
        <c:gapWidth val="0"/>
        <c:axId val="71949312"/>
        <c:axId val="71631616"/>
      </c:barChart>
      <c:catAx>
        <c:axId val="71949312"/>
        <c:scaling>
          <c:orientation val="minMax"/>
        </c:scaling>
        <c:delete val="1"/>
        <c:axPos val="l"/>
        <c:majorTickMark val="out"/>
        <c:minorTickMark val="none"/>
        <c:tickLblPos val="nextTo"/>
        <c:crossAx val="71631616"/>
        <c:crossesAt val="0"/>
        <c:auto val="1"/>
        <c:lblAlgn val="ctr"/>
        <c:lblOffset val="100"/>
        <c:noMultiLvlLbl val="0"/>
      </c:catAx>
      <c:valAx>
        <c:axId val="71631616"/>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1949312"/>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C9C7-4D68-B317-230E3D3E1103}"/>
            </c:ext>
          </c:extLst>
        </c:ser>
        <c:dLbls>
          <c:showLegendKey val="0"/>
          <c:showVal val="0"/>
          <c:showCatName val="0"/>
          <c:showSerName val="0"/>
          <c:showPercent val="0"/>
          <c:showBubbleSize val="0"/>
        </c:dLbls>
        <c:gapWidth val="0"/>
        <c:axId val="71663616"/>
        <c:axId val="71665152"/>
      </c:barChart>
      <c:catAx>
        <c:axId val="71663616"/>
        <c:scaling>
          <c:orientation val="minMax"/>
        </c:scaling>
        <c:delete val="1"/>
        <c:axPos val="l"/>
        <c:majorTickMark val="out"/>
        <c:minorTickMark val="none"/>
        <c:tickLblPos val="nextTo"/>
        <c:crossAx val="71665152"/>
        <c:crossesAt val="0"/>
        <c:auto val="1"/>
        <c:lblAlgn val="ctr"/>
        <c:lblOffset val="100"/>
        <c:noMultiLvlLbl val="0"/>
      </c:catAx>
      <c:valAx>
        <c:axId val="7166515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1663616"/>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B333-4A4D-B642-E0D024DB5B61}"/>
            </c:ext>
          </c:extLst>
        </c:ser>
        <c:dLbls>
          <c:showLegendKey val="0"/>
          <c:showVal val="0"/>
          <c:showCatName val="0"/>
          <c:showSerName val="0"/>
          <c:showPercent val="0"/>
          <c:showBubbleSize val="0"/>
        </c:dLbls>
        <c:gapWidth val="0"/>
        <c:axId val="71684864"/>
        <c:axId val="71686400"/>
      </c:barChart>
      <c:catAx>
        <c:axId val="71684864"/>
        <c:scaling>
          <c:orientation val="minMax"/>
        </c:scaling>
        <c:delete val="1"/>
        <c:axPos val="l"/>
        <c:majorTickMark val="out"/>
        <c:minorTickMark val="none"/>
        <c:tickLblPos val="nextTo"/>
        <c:crossAx val="71686400"/>
        <c:crossesAt val="0"/>
        <c:auto val="1"/>
        <c:lblAlgn val="ctr"/>
        <c:lblOffset val="100"/>
        <c:noMultiLvlLbl val="0"/>
      </c:catAx>
      <c:valAx>
        <c:axId val="71686400"/>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1684864"/>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3.5</c:v>
              </c:pt>
            </c:numLit>
          </c:val>
          <c:extLst>
            <c:ext xmlns:c16="http://schemas.microsoft.com/office/drawing/2014/chart" uri="{C3380CC4-5D6E-409C-BE32-E72D297353CC}">
              <c16:uniqueId val="{00000000-3398-47E2-B2D0-A2459C4D8367}"/>
            </c:ext>
          </c:extLst>
        </c:ser>
        <c:dLbls>
          <c:showLegendKey val="0"/>
          <c:showVal val="0"/>
          <c:showCatName val="0"/>
          <c:showSerName val="0"/>
          <c:showPercent val="0"/>
          <c:showBubbleSize val="0"/>
        </c:dLbls>
        <c:gapWidth val="0"/>
        <c:axId val="71783936"/>
        <c:axId val="71785472"/>
      </c:barChart>
      <c:catAx>
        <c:axId val="71783936"/>
        <c:scaling>
          <c:orientation val="minMax"/>
        </c:scaling>
        <c:delete val="1"/>
        <c:axPos val="l"/>
        <c:majorTickMark val="out"/>
        <c:minorTickMark val="none"/>
        <c:tickLblPos val="nextTo"/>
        <c:crossAx val="71785472"/>
        <c:crossesAt val="0"/>
        <c:auto val="1"/>
        <c:lblAlgn val="ctr"/>
        <c:lblOffset val="100"/>
        <c:noMultiLvlLbl val="0"/>
      </c:catAx>
      <c:valAx>
        <c:axId val="7178547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1783936"/>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1.5</c:v>
              </c:pt>
            </c:numLit>
          </c:val>
          <c:extLst>
            <c:ext xmlns:c16="http://schemas.microsoft.com/office/drawing/2014/chart" uri="{C3380CC4-5D6E-409C-BE32-E72D297353CC}">
              <c16:uniqueId val="{00000000-7400-4844-8839-DBC0A257A9B0}"/>
            </c:ext>
          </c:extLst>
        </c:ser>
        <c:dLbls>
          <c:showLegendKey val="0"/>
          <c:showVal val="0"/>
          <c:showCatName val="0"/>
          <c:showSerName val="0"/>
          <c:showPercent val="0"/>
          <c:showBubbleSize val="0"/>
        </c:dLbls>
        <c:gapWidth val="0"/>
        <c:axId val="71817472"/>
        <c:axId val="71823360"/>
      </c:barChart>
      <c:catAx>
        <c:axId val="71817472"/>
        <c:scaling>
          <c:orientation val="minMax"/>
        </c:scaling>
        <c:delete val="1"/>
        <c:axPos val="l"/>
        <c:majorTickMark val="out"/>
        <c:minorTickMark val="none"/>
        <c:tickLblPos val="nextTo"/>
        <c:crossAx val="71823360"/>
        <c:crossesAt val="0"/>
        <c:auto val="1"/>
        <c:lblAlgn val="ctr"/>
        <c:lblOffset val="100"/>
        <c:noMultiLvlLbl val="0"/>
      </c:catAx>
      <c:valAx>
        <c:axId val="71823360"/>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1817472"/>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3</c:v>
              </c:pt>
            </c:numLit>
          </c:val>
          <c:extLst>
            <c:ext xmlns:c16="http://schemas.microsoft.com/office/drawing/2014/chart" uri="{C3380CC4-5D6E-409C-BE32-E72D297353CC}">
              <c16:uniqueId val="{00000000-CD9D-4E6F-968D-9154F5F301AF}"/>
            </c:ext>
          </c:extLst>
        </c:ser>
        <c:dLbls>
          <c:showLegendKey val="0"/>
          <c:showVal val="0"/>
          <c:showCatName val="0"/>
          <c:showSerName val="0"/>
          <c:showPercent val="0"/>
          <c:showBubbleSize val="0"/>
        </c:dLbls>
        <c:gapWidth val="0"/>
        <c:axId val="71834624"/>
        <c:axId val="71848704"/>
      </c:barChart>
      <c:catAx>
        <c:axId val="71834624"/>
        <c:scaling>
          <c:orientation val="minMax"/>
        </c:scaling>
        <c:delete val="1"/>
        <c:axPos val="l"/>
        <c:majorTickMark val="out"/>
        <c:minorTickMark val="none"/>
        <c:tickLblPos val="nextTo"/>
        <c:crossAx val="71848704"/>
        <c:crossesAt val="0"/>
        <c:auto val="1"/>
        <c:lblAlgn val="ctr"/>
        <c:lblOffset val="100"/>
        <c:noMultiLvlLbl val="0"/>
      </c:catAx>
      <c:valAx>
        <c:axId val="71848704"/>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1834624"/>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結果!$S$30</c:f>
              <c:strCache>
                <c:ptCount val="1"/>
                <c:pt idx="0">
                  <c:v>S</c:v>
                </c:pt>
              </c:strCache>
            </c:strRef>
          </c:tx>
          <c:spPr>
            <a:pattFill prst="pct70">
              <a:fgClr>
                <a:srgbClr val="339966"/>
              </a:fgClr>
              <a:bgClr>
                <a:srgbClr val="FFFFFF"/>
              </a:bgClr>
            </a:pattFill>
            <a:ln w="12700">
              <a:solidFill>
                <a:srgbClr val="000000"/>
              </a:solidFill>
              <a:prstDash val="solid"/>
            </a:ln>
          </c:spPr>
          <c:cat>
            <c:numRef>
              <c:f>結果!$T$24:$U$24</c:f>
              <c:numCache>
                <c:formatCode>General</c:formatCode>
                <c:ptCount val="2"/>
                <c:pt idx="0" formatCode="#,##0_);[Red]\(#,##0\)">
                  <c:v>0</c:v>
                </c:pt>
                <c:pt idx="1">
                  <c:v>0</c:v>
                </c:pt>
              </c:numCache>
            </c:numRef>
          </c:cat>
          <c:val>
            <c:numRef>
              <c:f>結果!$T$30:$Z$30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7E15-49BA-84EE-CCBF4855FE78}"/>
            </c:ext>
          </c:extLst>
        </c:ser>
        <c:ser>
          <c:idx val="3"/>
          <c:order val="4"/>
          <c:tx>
            <c:strRef>
              <c:f>結果!$S$31</c:f>
              <c:strCache>
                <c:ptCount val="1"/>
                <c:pt idx="0">
                  <c:v>A</c:v>
                </c:pt>
              </c:strCache>
            </c:strRef>
          </c:tx>
          <c:spPr>
            <a:pattFill prst="pct90">
              <a:fgClr>
                <a:srgbClr val="CCFFCC"/>
              </a:fgClr>
              <a:bgClr>
                <a:srgbClr val="FFFFFF"/>
              </a:bgClr>
            </a:pattFill>
            <a:ln w="12700">
              <a:solidFill>
                <a:srgbClr val="000000"/>
              </a:solidFill>
              <a:prstDash val="solid"/>
            </a:ln>
          </c:spPr>
          <c:cat>
            <c:numRef>
              <c:f>結果!$T$24:$U$24</c:f>
              <c:numCache>
                <c:formatCode>General</c:formatCode>
                <c:ptCount val="2"/>
                <c:pt idx="0" formatCode="#,##0_);[Red]\(#,##0\)">
                  <c:v>0</c:v>
                </c:pt>
                <c:pt idx="1">
                  <c:v>0</c:v>
                </c:pt>
              </c:numCache>
            </c:numRef>
          </c:cat>
          <c:val>
            <c:numRef>
              <c:f>結果!$T$31:$Z$31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7E15-49BA-84EE-CCBF4855FE78}"/>
            </c:ext>
          </c:extLst>
        </c:ser>
        <c:ser>
          <c:idx val="2"/>
          <c:order val="5"/>
          <c:tx>
            <c:strRef>
              <c:f>結果!$S$32</c:f>
              <c:strCache>
                <c:ptCount val="1"/>
                <c:pt idx="0">
                  <c:v>B+</c:v>
                </c:pt>
              </c:strCache>
            </c:strRef>
          </c:tx>
          <c:spPr>
            <a:solidFill>
              <a:srgbClr val="FFFFCC"/>
            </a:solidFill>
            <a:ln w="12700">
              <a:solidFill>
                <a:srgbClr val="000000"/>
              </a:solidFill>
              <a:prstDash val="solid"/>
            </a:ln>
          </c:spPr>
          <c:cat>
            <c:numRef>
              <c:f>結果!$T$24:$U$24</c:f>
              <c:numCache>
                <c:formatCode>General</c:formatCode>
                <c:ptCount val="2"/>
                <c:pt idx="0" formatCode="#,##0_);[Red]\(#,##0\)">
                  <c:v>0</c:v>
                </c:pt>
                <c:pt idx="1">
                  <c:v>0</c:v>
                </c:pt>
              </c:numCache>
            </c:numRef>
          </c:cat>
          <c:val>
            <c:numRef>
              <c:f>結果!$T$32:$Z$32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7E15-49BA-84EE-CCBF4855FE78}"/>
            </c:ext>
          </c:extLst>
        </c:ser>
        <c:ser>
          <c:idx val="1"/>
          <c:order val="6"/>
          <c:tx>
            <c:strRef>
              <c:f>結果!$S$34</c:f>
              <c:strCache>
                <c:ptCount val="1"/>
                <c:pt idx="0">
                  <c:v>B-</c:v>
                </c:pt>
              </c:strCache>
            </c:strRef>
          </c:tx>
          <c:spPr>
            <a:solidFill>
              <a:srgbClr val="FFFFFF"/>
            </a:solidFill>
            <a:ln w="12700">
              <a:solidFill>
                <a:srgbClr val="000000"/>
              </a:solidFill>
              <a:prstDash val="solid"/>
            </a:ln>
          </c:spPr>
          <c:cat>
            <c:numRef>
              <c:f>結果!$T$24:$U$24</c:f>
              <c:numCache>
                <c:formatCode>General</c:formatCode>
                <c:ptCount val="2"/>
                <c:pt idx="0" formatCode="#,##0_);[Red]\(#,##0\)">
                  <c:v>0</c:v>
                </c:pt>
                <c:pt idx="1">
                  <c:v>0</c:v>
                </c:pt>
              </c:numCache>
            </c:numRef>
          </c:cat>
          <c:val>
            <c:numRef>
              <c:f>結果!$T$34:$Z$34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7E15-49BA-84EE-CCBF4855FE78}"/>
            </c:ext>
          </c:extLst>
        </c:ser>
        <c:ser>
          <c:idx val="0"/>
          <c:order val="7"/>
          <c:tx>
            <c:strRef>
              <c:f>結果!$S$33</c:f>
              <c:strCache>
                <c:ptCount val="1"/>
                <c:pt idx="0">
                  <c:v>B</c:v>
                </c:pt>
              </c:strCache>
            </c:strRef>
          </c:tx>
          <c:spPr>
            <a:noFill/>
            <a:ln w="12700">
              <a:solidFill>
                <a:srgbClr val="000000"/>
              </a:solidFill>
              <a:prstDash val="solid"/>
            </a:ln>
          </c:spPr>
          <c:cat>
            <c:numRef>
              <c:f>結果!$T$24:$U$24</c:f>
              <c:numCache>
                <c:formatCode>General</c:formatCode>
                <c:ptCount val="2"/>
                <c:pt idx="0" formatCode="#,##0_);[Red]\(#,##0\)">
                  <c:v>0</c:v>
                </c:pt>
                <c:pt idx="1">
                  <c:v>0</c:v>
                </c:pt>
              </c:numCache>
            </c:numRef>
          </c:cat>
          <c:val>
            <c:numRef>
              <c:f>結果!$T$33:$Z$33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7E15-49BA-84EE-CCBF4855FE78}"/>
            </c:ext>
          </c:extLst>
        </c:ser>
        <c:dLbls>
          <c:showLegendKey val="0"/>
          <c:showVal val="0"/>
          <c:showCatName val="0"/>
          <c:showSerName val="0"/>
          <c:showPercent val="0"/>
          <c:showBubbleSize val="0"/>
        </c:dLbls>
        <c:axId val="68724608"/>
        <c:axId val="68726144"/>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7E15-49BA-84EE-CCBF4855FE78}"/>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15-49BA-84EE-CCBF4855FE78}"/>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15-49BA-84EE-CCBF4855FE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結果!$R$26:$U$26</c:f>
              <c:numCache>
                <c:formatCode>General</c:formatCode>
                <c:ptCount val="4"/>
                <c:pt idx="0">
                  <c:v>0</c:v>
                </c:pt>
                <c:pt idx="1">
                  <c:v>0</c:v>
                </c:pt>
                <c:pt idx="2" formatCode="#,##0_);[Red]\(#,##0\)">
                  <c:v>0</c:v>
                </c:pt>
                <c:pt idx="3">
                  <c:v>0.1</c:v>
                </c:pt>
              </c:numCache>
            </c:numRef>
          </c:xVal>
          <c:yVal>
            <c:numRef>
              <c:f>結果!$R$27:$U$27</c:f>
              <c:numCache>
                <c:formatCode>General</c:formatCode>
                <c:ptCount val="4"/>
                <c:pt idx="0">
                  <c:v>0</c:v>
                </c:pt>
                <c:pt idx="1">
                  <c:v>0</c:v>
                </c:pt>
                <c:pt idx="2">
                  <c:v>51.003494094488197</c:v>
                </c:pt>
                <c:pt idx="3" formatCode="#,##0_);[Red]\(#,##0\)">
                  <c:v>51.003494094488197</c:v>
                </c:pt>
              </c:numCache>
            </c:numRef>
          </c:yVal>
          <c:smooth val="0"/>
          <c:extLst>
            <c:ext xmlns:c16="http://schemas.microsoft.com/office/drawing/2014/chart" uri="{C3380CC4-5D6E-409C-BE32-E72D297353CC}">
              <c16:uniqueId val="{00000009-7E15-49BA-84EE-CCBF4855FE78}"/>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7E15-49BA-84EE-CCBF4855FE78}"/>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7E15-49BA-84EE-CCBF4855FE78}"/>
              </c:ext>
            </c:extLst>
          </c:dPt>
          <c:xVal>
            <c:numRef>
              <c:f>結果!$R$26:$U$26</c:f>
              <c:numCache>
                <c:formatCode>General</c:formatCode>
                <c:ptCount val="4"/>
                <c:pt idx="0">
                  <c:v>0</c:v>
                </c:pt>
                <c:pt idx="1">
                  <c:v>0</c:v>
                </c:pt>
                <c:pt idx="2" formatCode="#,##0_);[Red]\(#,##0\)">
                  <c:v>0</c:v>
                </c:pt>
                <c:pt idx="3">
                  <c:v>0.1</c:v>
                </c:pt>
              </c:numCache>
            </c:numRef>
          </c:xVal>
          <c:yVal>
            <c:numRef>
              <c:f>結果!$R$27:$U$27</c:f>
              <c:numCache>
                <c:formatCode>General</c:formatCode>
                <c:ptCount val="4"/>
                <c:pt idx="0">
                  <c:v>0</c:v>
                </c:pt>
                <c:pt idx="1">
                  <c:v>0</c:v>
                </c:pt>
                <c:pt idx="2">
                  <c:v>51.003494094488197</c:v>
                </c:pt>
                <c:pt idx="3" formatCode="#,##0_);[Red]\(#,##0\)">
                  <c:v>51.003494094488197</c:v>
                </c:pt>
              </c:numCache>
            </c:numRef>
          </c:yVal>
          <c:smooth val="0"/>
          <c:extLst>
            <c:ext xmlns:c16="http://schemas.microsoft.com/office/drawing/2014/chart" uri="{C3380CC4-5D6E-409C-BE32-E72D297353CC}">
              <c16:uniqueId val="{0000000C-7E15-49BA-84EE-CCBF4855FE78}"/>
            </c:ext>
          </c:extLst>
        </c:ser>
        <c:ser>
          <c:idx val="5"/>
          <c:order val="2"/>
          <c:tx>
            <c:strRef>
              <c:f>結果!$S$12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7E15-49BA-84EE-CCBF4855FE78}"/>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7E15-49BA-84EE-CCBF4855FE78}"/>
              </c:ext>
            </c:extLst>
          </c:dPt>
          <c:dPt>
            <c:idx val="2"/>
            <c:bubble3D val="0"/>
            <c:spPr>
              <a:ln w="38100">
                <a:solidFill>
                  <a:srgbClr val="008000"/>
                </a:solidFill>
                <a:prstDash val="solid"/>
              </a:ln>
            </c:spPr>
            <c:extLst>
              <c:ext xmlns:c16="http://schemas.microsoft.com/office/drawing/2014/chart" uri="{C3380CC4-5D6E-409C-BE32-E72D297353CC}">
                <c16:uniqueId val="{00000011-7E15-49BA-84EE-CCBF4855FE78}"/>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7E15-49BA-84EE-CCBF4855FE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結果!$S$24:$U$24</c:f>
              <c:numCache>
                <c:formatCode>#,##0_);[Red]\(#,##0\)</c:formatCode>
                <c:ptCount val="3"/>
                <c:pt idx="1">
                  <c:v>0</c:v>
                </c:pt>
                <c:pt idx="2" formatCode="General">
                  <c:v>0</c:v>
                </c:pt>
              </c:numCache>
            </c:numRef>
          </c:xVal>
          <c:yVal>
            <c:numRef>
              <c:f>結果!$S$25:$U$25</c:f>
              <c:numCache>
                <c:formatCode>#,##0_);[Red]\(#,##0\)</c:formatCode>
                <c:ptCount val="3"/>
                <c:pt idx="1">
                  <c:v>51.003494094488197</c:v>
                </c:pt>
                <c:pt idx="2" formatCode="General">
                  <c:v>0</c:v>
                </c:pt>
              </c:numCache>
            </c:numRef>
          </c:yVal>
          <c:smooth val="0"/>
          <c:extLst>
            <c:ext xmlns:c16="http://schemas.microsoft.com/office/drawing/2014/chart" uri="{C3380CC4-5D6E-409C-BE32-E72D297353CC}">
              <c16:uniqueId val="{00000012-7E15-49BA-84EE-CCBF4855FE78}"/>
            </c:ext>
          </c:extLst>
        </c:ser>
        <c:dLbls>
          <c:showLegendKey val="0"/>
          <c:showVal val="0"/>
          <c:showCatName val="0"/>
          <c:showSerName val="0"/>
          <c:showPercent val="0"/>
          <c:showBubbleSize val="0"/>
        </c:dLbls>
        <c:axId val="68744320"/>
        <c:axId val="68745856"/>
      </c:scatterChart>
      <c:catAx>
        <c:axId val="68724608"/>
        <c:scaling>
          <c:orientation val="minMax"/>
        </c:scaling>
        <c:delete val="0"/>
        <c:axPos val="b"/>
        <c:numFmt formatCode="#,##0_);[Red]\(#,##0\)" sourceLinked="1"/>
        <c:majorTickMark val="none"/>
        <c:minorTickMark val="none"/>
        <c:tickLblPos val="none"/>
        <c:spPr>
          <a:ln w="3175">
            <a:solidFill>
              <a:srgbClr val="000000"/>
            </a:solidFill>
            <a:prstDash val="solid"/>
          </a:ln>
        </c:spPr>
        <c:crossAx val="68726144"/>
        <c:crosses val="autoZero"/>
        <c:auto val="0"/>
        <c:lblAlgn val="ctr"/>
        <c:lblOffset val="100"/>
        <c:tickLblSkip val="50"/>
        <c:tickMarkSkip val="50"/>
        <c:noMultiLvlLbl val="0"/>
      </c:catAx>
      <c:valAx>
        <c:axId val="68726144"/>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8724608"/>
        <c:crosses val="autoZero"/>
        <c:crossBetween val="midCat"/>
        <c:majorUnit val="50"/>
      </c:valAx>
      <c:valAx>
        <c:axId val="6874432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8745856"/>
        <c:crosses val="max"/>
        <c:crossBetween val="midCat"/>
        <c:majorUnit val="50"/>
      </c:valAx>
      <c:valAx>
        <c:axId val="68745856"/>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6874432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4.5</c:v>
              </c:pt>
            </c:numLit>
          </c:val>
          <c:extLst>
            <c:ext xmlns:c16="http://schemas.microsoft.com/office/drawing/2014/chart" uri="{C3380CC4-5D6E-409C-BE32-E72D297353CC}">
              <c16:uniqueId val="{00000000-B569-440E-9199-896F52B4012C}"/>
            </c:ext>
          </c:extLst>
        </c:ser>
        <c:dLbls>
          <c:showLegendKey val="0"/>
          <c:showVal val="0"/>
          <c:showCatName val="0"/>
          <c:showSerName val="0"/>
          <c:showPercent val="0"/>
          <c:showBubbleSize val="0"/>
        </c:dLbls>
        <c:gapWidth val="0"/>
        <c:axId val="71868416"/>
        <c:axId val="71869952"/>
      </c:barChart>
      <c:catAx>
        <c:axId val="71868416"/>
        <c:scaling>
          <c:orientation val="minMax"/>
        </c:scaling>
        <c:delete val="1"/>
        <c:axPos val="l"/>
        <c:majorTickMark val="out"/>
        <c:minorTickMark val="none"/>
        <c:tickLblPos val="nextTo"/>
        <c:crossAx val="71869952"/>
        <c:crossesAt val="0"/>
        <c:auto val="1"/>
        <c:lblAlgn val="ctr"/>
        <c:lblOffset val="100"/>
        <c:noMultiLvlLbl val="0"/>
      </c:catAx>
      <c:valAx>
        <c:axId val="7186995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1868416"/>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2.02999999999999</c:v>
              </c:pt>
            </c:numLit>
          </c:val>
          <c:extLst>
            <c:ext xmlns:c16="http://schemas.microsoft.com/office/drawing/2014/chart" uri="{C3380CC4-5D6E-409C-BE32-E72D297353CC}">
              <c16:uniqueId val="{00000000-3927-422C-B7C0-6136BF2F6B14}"/>
            </c:ext>
          </c:extLst>
        </c:ser>
        <c:dLbls>
          <c:showLegendKey val="0"/>
          <c:showVal val="0"/>
          <c:showCatName val="0"/>
          <c:showSerName val="0"/>
          <c:showPercent val="0"/>
          <c:showBubbleSize val="0"/>
        </c:dLbls>
        <c:gapWidth val="0"/>
        <c:axId val="72041216"/>
        <c:axId val="72042752"/>
      </c:barChart>
      <c:catAx>
        <c:axId val="72041216"/>
        <c:scaling>
          <c:orientation val="minMax"/>
        </c:scaling>
        <c:delete val="1"/>
        <c:axPos val="l"/>
        <c:majorTickMark val="out"/>
        <c:minorTickMark val="none"/>
        <c:tickLblPos val="nextTo"/>
        <c:crossAx val="72042752"/>
        <c:crossesAt val="0"/>
        <c:auto val="1"/>
        <c:lblAlgn val="ctr"/>
        <c:lblOffset val="100"/>
        <c:noMultiLvlLbl val="0"/>
      </c:catAx>
      <c:valAx>
        <c:axId val="7204275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2041216"/>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3.5</c:v>
              </c:pt>
            </c:numLit>
          </c:val>
          <c:extLst>
            <c:ext xmlns:c16="http://schemas.microsoft.com/office/drawing/2014/chart" uri="{C3380CC4-5D6E-409C-BE32-E72D297353CC}">
              <c16:uniqueId val="{00000000-C679-432D-92C4-28B42F5A3814}"/>
            </c:ext>
          </c:extLst>
        </c:ser>
        <c:dLbls>
          <c:showLegendKey val="0"/>
          <c:showVal val="0"/>
          <c:showCatName val="0"/>
          <c:showSerName val="0"/>
          <c:showPercent val="0"/>
          <c:showBubbleSize val="0"/>
        </c:dLbls>
        <c:gapWidth val="0"/>
        <c:axId val="72058368"/>
        <c:axId val="72059904"/>
      </c:barChart>
      <c:catAx>
        <c:axId val="72058368"/>
        <c:scaling>
          <c:orientation val="minMax"/>
        </c:scaling>
        <c:delete val="1"/>
        <c:axPos val="l"/>
        <c:majorTickMark val="out"/>
        <c:minorTickMark val="none"/>
        <c:tickLblPos val="nextTo"/>
        <c:crossAx val="72059904"/>
        <c:crossesAt val="0"/>
        <c:auto val="1"/>
        <c:lblAlgn val="ctr"/>
        <c:lblOffset val="100"/>
        <c:noMultiLvlLbl val="0"/>
      </c:catAx>
      <c:valAx>
        <c:axId val="72059904"/>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2058368"/>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1.5</c:v>
              </c:pt>
            </c:numLit>
          </c:val>
          <c:extLst>
            <c:ext xmlns:c16="http://schemas.microsoft.com/office/drawing/2014/chart" uri="{C3380CC4-5D6E-409C-BE32-E72D297353CC}">
              <c16:uniqueId val="{00000000-378B-4C9F-A5B5-76A334A6A1D6}"/>
            </c:ext>
          </c:extLst>
        </c:ser>
        <c:dLbls>
          <c:showLegendKey val="0"/>
          <c:showVal val="0"/>
          <c:showCatName val="0"/>
          <c:showSerName val="0"/>
          <c:showPercent val="0"/>
          <c:showBubbleSize val="0"/>
        </c:dLbls>
        <c:gapWidth val="0"/>
        <c:axId val="72079616"/>
        <c:axId val="72683520"/>
      </c:barChart>
      <c:catAx>
        <c:axId val="72079616"/>
        <c:scaling>
          <c:orientation val="minMax"/>
        </c:scaling>
        <c:delete val="1"/>
        <c:axPos val="l"/>
        <c:majorTickMark val="out"/>
        <c:minorTickMark val="none"/>
        <c:tickLblPos val="nextTo"/>
        <c:crossAx val="72683520"/>
        <c:crossesAt val="0"/>
        <c:auto val="1"/>
        <c:lblAlgn val="ctr"/>
        <c:lblOffset val="100"/>
        <c:noMultiLvlLbl val="0"/>
      </c:catAx>
      <c:valAx>
        <c:axId val="72683520"/>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2079616"/>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3</c:v>
              </c:pt>
            </c:numLit>
          </c:val>
          <c:extLst>
            <c:ext xmlns:c16="http://schemas.microsoft.com/office/drawing/2014/chart" uri="{C3380CC4-5D6E-409C-BE32-E72D297353CC}">
              <c16:uniqueId val="{00000000-9B3B-469D-A09B-F6388AC5F03D}"/>
            </c:ext>
          </c:extLst>
        </c:ser>
        <c:dLbls>
          <c:showLegendKey val="0"/>
          <c:showVal val="0"/>
          <c:showCatName val="0"/>
          <c:showSerName val="0"/>
          <c:showPercent val="0"/>
          <c:showBubbleSize val="0"/>
        </c:dLbls>
        <c:gapWidth val="0"/>
        <c:axId val="72690688"/>
        <c:axId val="72712960"/>
      </c:barChart>
      <c:catAx>
        <c:axId val="72690688"/>
        <c:scaling>
          <c:orientation val="minMax"/>
        </c:scaling>
        <c:delete val="1"/>
        <c:axPos val="l"/>
        <c:majorTickMark val="out"/>
        <c:minorTickMark val="none"/>
        <c:tickLblPos val="nextTo"/>
        <c:crossAx val="72712960"/>
        <c:crossesAt val="0"/>
        <c:auto val="1"/>
        <c:lblAlgn val="ctr"/>
        <c:lblOffset val="100"/>
        <c:noMultiLvlLbl val="0"/>
      </c:catAx>
      <c:valAx>
        <c:axId val="72712960"/>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2690688"/>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4.5</c:v>
              </c:pt>
            </c:numLit>
          </c:val>
          <c:extLst>
            <c:ext xmlns:c16="http://schemas.microsoft.com/office/drawing/2014/chart" uri="{C3380CC4-5D6E-409C-BE32-E72D297353CC}">
              <c16:uniqueId val="{00000000-0901-49E3-BBFD-278FCEE39761}"/>
            </c:ext>
          </c:extLst>
        </c:ser>
        <c:dLbls>
          <c:showLegendKey val="0"/>
          <c:showVal val="0"/>
          <c:showCatName val="0"/>
          <c:showSerName val="0"/>
          <c:showPercent val="0"/>
          <c:showBubbleSize val="0"/>
        </c:dLbls>
        <c:gapWidth val="0"/>
        <c:axId val="72740864"/>
        <c:axId val="72742400"/>
      </c:barChart>
      <c:catAx>
        <c:axId val="72740864"/>
        <c:scaling>
          <c:orientation val="minMax"/>
        </c:scaling>
        <c:delete val="1"/>
        <c:axPos val="l"/>
        <c:majorTickMark val="out"/>
        <c:minorTickMark val="none"/>
        <c:tickLblPos val="nextTo"/>
        <c:crossAx val="72742400"/>
        <c:crossesAt val="0"/>
        <c:auto val="1"/>
        <c:lblAlgn val="ctr"/>
        <c:lblOffset val="100"/>
        <c:noMultiLvlLbl val="0"/>
      </c:catAx>
      <c:valAx>
        <c:axId val="72742400"/>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2740864"/>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2.02999999999999</c:v>
              </c:pt>
            </c:numLit>
          </c:val>
          <c:extLst>
            <c:ext xmlns:c16="http://schemas.microsoft.com/office/drawing/2014/chart" uri="{C3380CC4-5D6E-409C-BE32-E72D297353CC}">
              <c16:uniqueId val="{00000000-D4DC-43F1-9C6C-7424AECDD30F}"/>
            </c:ext>
          </c:extLst>
        </c:ser>
        <c:dLbls>
          <c:showLegendKey val="0"/>
          <c:showVal val="0"/>
          <c:showCatName val="0"/>
          <c:showSerName val="0"/>
          <c:showPercent val="0"/>
          <c:showBubbleSize val="0"/>
        </c:dLbls>
        <c:gapWidth val="0"/>
        <c:axId val="72762496"/>
        <c:axId val="72764032"/>
      </c:barChart>
      <c:catAx>
        <c:axId val="72762496"/>
        <c:scaling>
          <c:orientation val="minMax"/>
        </c:scaling>
        <c:delete val="1"/>
        <c:axPos val="l"/>
        <c:majorTickMark val="out"/>
        <c:minorTickMark val="none"/>
        <c:tickLblPos val="nextTo"/>
        <c:crossAx val="72764032"/>
        <c:crossesAt val="0"/>
        <c:auto val="1"/>
        <c:lblAlgn val="ctr"/>
        <c:lblOffset val="100"/>
        <c:noMultiLvlLbl val="0"/>
      </c:catAx>
      <c:valAx>
        <c:axId val="7276403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2762496"/>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3.5</c:v>
              </c:pt>
            </c:numLit>
          </c:val>
          <c:extLst>
            <c:ext xmlns:c16="http://schemas.microsoft.com/office/drawing/2014/chart" uri="{C3380CC4-5D6E-409C-BE32-E72D297353CC}">
              <c16:uniqueId val="{00000000-041D-4F7A-8F53-8BA8FD78E955}"/>
            </c:ext>
          </c:extLst>
        </c:ser>
        <c:dLbls>
          <c:showLegendKey val="0"/>
          <c:showVal val="0"/>
          <c:showCatName val="0"/>
          <c:showSerName val="0"/>
          <c:showPercent val="0"/>
          <c:showBubbleSize val="0"/>
        </c:dLbls>
        <c:gapWidth val="0"/>
        <c:axId val="72787840"/>
        <c:axId val="72789376"/>
      </c:barChart>
      <c:catAx>
        <c:axId val="72787840"/>
        <c:scaling>
          <c:orientation val="minMax"/>
        </c:scaling>
        <c:delete val="1"/>
        <c:axPos val="l"/>
        <c:majorTickMark val="out"/>
        <c:minorTickMark val="none"/>
        <c:tickLblPos val="nextTo"/>
        <c:crossAx val="72789376"/>
        <c:crossesAt val="0"/>
        <c:auto val="1"/>
        <c:lblAlgn val="ctr"/>
        <c:lblOffset val="100"/>
        <c:noMultiLvlLbl val="0"/>
      </c:catAx>
      <c:valAx>
        <c:axId val="72789376"/>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2787840"/>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1.5</c:v>
              </c:pt>
            </c:numLit>
          </c:val>
          <c:extLst>
            <c:ext xmlns:c16="http://schemas.microsoft.com/office/drawing/2014/chart" uri="{C3380CC4-5D6E-409C-BE32-E72D297353CC}">
              <c16:uniqueId val="{00000000-C09C-45B0-82B7-65334E3096E8}"/>
            </c:ext>
          </c:extLst>
        </c:ser>
        <c:dLbls>
          <c:showLegendKey val="0"/>
          <c:showVal val="0"/>
          <c:showCatName val="0"/>
          <c:showSerName val="0"/>
          <c:showPercent val="0"/>
          <c:showBubbleSize val="0"/>
        </c:dLbls>
        <c:gapWidth val="0"/>
        <c:axId val="72804992"/>
        <c:axId val="73150848"/>
      </c:barChart>
      <c:catAx>
        <c:axId val="72804992"/>
        <c:scaling>
          <c:orientation val="minMax"/>
        </c:scaling>
        <c:delete val="1"/>
        <c:axPos val="l"/>
        <c:majorTickMark val="out"/>
        <c:minorTickMark val="none"/>
        <c:tickLblPos val="nextTo"/>
        <c:crossAx val="73150848"/>
        <c:crossesAt val="0"/>
        <c:auto val="1"/>
        <c:lblAlgn val="ctr"/>
        <c:lblOffset val="100"/>
        <c:noMultiLvlLbl val="0"/>
      </c:catAx>
      <c:valAx>
        <c:axId val="73150848"/>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2804992"/>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3</c:v>
              </c:pt>
            </c:numLit>
          </c:val>
          <c:extLst>
            <c:ext xmlns:c16="http://schemas.microsoft.com/office/drawing/2014/chart" uri="{C3380CC4-5D6E-409C-BE32-E72D297353CC}">
              <c16:uniqueId val="{00000000-0C93-417E-BD32-61A87E1A6330}"/>
            </c:ext>
          </c:extLst>
        </c:ser>
        <c:dLbls>
          <c:showLegendKey val="0"/>
          <c:showVal val="0"/>
          <c:showCatName val="0"/>
          <c:showSerName val="0"/>
          <c:showPercent val="0"/>
          <c:showBubbleSize val="0"/>
        </c:dLbls>
        <c:gapWidth val="0"/>
        <c:axId val="73170304"/>
        <c:axId val="73180288"/>
      </c:barChart>
      <c:catAx>
        <c:axId val="73170304"/>
        <c:scaling>
          <c:orientation val="minMax"/>
        </c:scaling>
        <c:delete val="1"/>
        <c:axPos val="l"/>
        <c:majorTickMark val="out"/>
        <c:minorTickMark val="none"/>
        <c:tickLblPos val="nextTo"/>
        <c:crossAx val="73180288"/>
        <c:crossesAt val="0"/>
        <c:auto val="1"/>
        <c:lblAlgn val="ctr"/>
        <c:lblOffset val="100"/>
        <c:noMultiLvlLbl val="0"/>
      </c:catAx>
      <c:valAx>
        <c:axId val="73180288"/>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170304"/>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391-43CE-96D1-D6F9B4989982}"/>
              </c:ext>
            </c:extLst>
          </c:dPt>
          <c:val>
            <c:numRef>
              <c:f>結果!$S$40:$S$43</c:f>
              <c:numCache>
                <c:formatCode>#,##0_);[Red]\(#,##0\)</c:formatCode>
                <c:ptCount val="4"/>
                <c:pt idx="0">
                  <c:v>13.330629921259844</c:v>
                </c:pt>
                <c:pt idx="1">
                  <c:v>13.330629921259844</c:v>
                </c:pt>
              </c:numCache>
            </c:numRef>
          </c:val>
          <c:extLst>
            <c:ext xmlns:c16="http://schemas.microsoft.com/office/drawing/2014/chart" uri="{C3380CC4-5D6E-409C-BE32-E72D297353CC}">
              <c16:uniqueId val="{00000002-3391-43CE-96D1-D6F9B4989982}"/>
            </c:ext>
          </c:extLst>
        </c:ser>
        <c:ser>
          <c:idx val="1"/>
          <c:order val="1"/>
          <c:tx>
            <c:strRef>
              <c:f>結果!$T$39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391-43CE-96D1-D6F9B4989982}"/>
              </c:ext>
            </c:extLst>
          </c:dPt>
          <c:val>
            <c:numRef>
              <c:f>結果!$T$40:$T$43</c:f>
              <c:numCache>
                <c:formatCode>#,##0_);[Red]\(#,##0\)</c:formatCode>
                <c:ptCount val="4"/>
                <c:pt idx="0">
                  <c:v>16.328677165354332</c:v>
                </c:pt>
                <c:pt idx="1">
                  <c:v>16.328677165354332</c:v>
                </c:pt>
              </c:numCache>
            </c:numRef>
          </c:val>
          <c:extLst>
            <c:ext xmlns:c16="http://schemas.microsoft.com/office/drawing/2014/chart" uri="{C3380CC4-5D6E-409C-BE32-E72D297353CC}">
              <c16:uniqueId val="{00000005-3391-43CE-96D1-D6F9B4989982}"/>
            </c:ext>
          </c:extLst>
        </c:ser>
        <c:ser>
          <c:idx val="2"/>
          <c:order val="2"/>
          <c:tx>
            <c:strRef>
              <c:f>結果!$U$39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391-43CE-96D1-D6F9B4989982}"/>
              </c:ext>
            </c:extLst>
          </c:dPt>
          <c:val>
            <c:numRef>
              <c:f>結果!$U$40:$U$43</c:f>
              <c:numCache>
                <c:formatCode>#,##0_);[Red]\(#,##0\)</c:formatCode>
                <c:ptCount val="4"/>
                <c:pt idx="0">
                  <c:v>0</c:v>
                </c:pt>
                <c:pt idx="1">
                  <c:v>0</c:v>
                </c:pt>
              </c:numCache>
            </c:numRef>
          </c:val>
          <c:extLst>
            <c:ext xmlns:c16="http://schemas.microsoft.com/office/drawing/2014/chart" uri="{C3380CC4-5D6E-409C-BE32-E72D297353CC}">
              <c16:uniqueId val="{00000008-3391-43CE-96D1-D6F9B4989982}"/>
            </c:ext>
          </c:extLst>
        </c:ser>
        <c:ser>
          <c:idx val="3"/>
          <c:order val="3"/>
          <c:tx>
            <c:strRef>
              <c:f>結果!$V$39</c:f>
              <c:strCache>
                <c:ptCount val="1"/>
                <c:pt idx="0">
                  <c:v>オンサイト</c:v>
                </c:pt>
              </c:strCache>
            </c:strRef>
          </c:tx>
          <c:spPr>
            <a:solidFill>
              <a:srgbClr val="C0C0C0"/>
            </a:solidFill>
            <a:ln w="12700">
              <a:solidFill>
                <a:srgbClr val="000000"/>
              </a:solidFill>
              <a:prstDash val="solid"/>
            </a:ln>
          </c:spPr>
          <c:invertIfNegative val="0"/>
          <c:val>
            <c:numRef>
              <c:f>結果!$V$40:$V$43</c:f>
              <c:numCache>
                <c:formatCode>General</c:formatCode>
                <c:ptCount val="4"/>
                <c:pt idx="2" formatCode="#,##0_);[Red]\(#,##0\)">
                  <c:v>0</c:v>
                </c:pt>
              </c:numCache>
            </c:numRef>
          </c:val>
          <c:extLst>
            <c:ext xmlns:c16="http://schemas.microsoft.com/office/drawing/2014/chart" uri="{C3380CC4-5D6E-409C-BE32-E72D297353CC}">
              <c16:uniqueId val="{00000009-3391-43CE-96D1-D6F9B4989982}"/>
            </c:ext>
          </c:extLst>
        </c:ser>
        <c:ser>
          <c:idx val="4"/>
          <c:order val="4"/>
          <c:tx>
            <c:strRef>
              <c:f>結果!$W$39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結果!$W$40:$W$43</c:f>
              <c:numCache>
                <c:formatCode>General</c:formatCode>
                <c:ptCount val="4"/>
                <c:pt idx="3" formatCode="#,##0_);[Red]\(#,##0\)">
                  <c:v>0</c:v>
                </c:pt>
              </c:numCache>
            </c:numRef>
          </c:val>
          <c:extLst>
            <c:ext xmlns:c16="http://schemas.microsoft.com/office/drawing/2014/chart" uri="{C3380CC4-5D6E-409C-BE32-E72D297353CC}">
              <c16:uniqueId val="{0000000A-3391-43CE-96D1-D6F9B4989982}"/>
            </c:ext>
          </c:extLst>
        </c:ser>
        <c:dLbls>
          <c:showLegendKey val="0"/>
          <c:showVal val="0"/>
          <c:showCatName val="0"/>
          <c:showSerName val="0"/>
          <c:showPercent val="0"/>
          <c:showBubbleSize val="0"/>
        </c:dLbls>
        <c:gapWidth val="50"/>
        <c:overlap val="100"/>
        <c:axId val="68807296"/>
        <c:axId val="68813184"/>
      </c:barChart>
      <c:catAx>
        <c:axId val="68807296"/>
        <c:scaling>
          <c:orientation val="maxMin"/>
        </c:scaling>
        <c:delete val="1"/>
        <c:axPos val="l"/>
        <c:majorTickMark val="out"/>
        <c:minorTickMark val="none"/>
        <c:tickLblPos val="nextTo"/>
        <c:crossAx val="68813184"/>
        <c:crosses val="autoZero"/>
        <c:auto val="1"/>
        <c:lblAlgn val="ctr"/>
        <c:lblOffset val="100"/>
        <c:noMultiLvlLbl val="0"/>
      </c:catAx>
      <c:valAx>
        <c:axId val="68813184"/>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8807296"/>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4.5</c:v>
              </c:pt>
            </c:numLit>
          </c:val>
          <c:extLst>
            <c:ext xmlns:c16="http://schemas.microsoft.com/office/drawing/2014/chart" uri="{C3380CC4-5D6E-409C-BE32-E72D297353CC}">
              <c16:uniqueId val="{00000000-38F1-421A-9A71-A131ADFEA574}"/>
            </c:ext>
          </c:extLst>
        </c:ser>
        <c:dLbls>
          <c:showLegendKey val="0"/>
          <c:showVal val="0"/>
          <c:showCatName val="0"/>
          <c:showSerName val="0"/>
          <c:showPercent val="0"/>
          <c:showBubbleSize val="0"/>
        </c:dLbls>
        <c:gapWidth val="0"/>
        <c:axId val="73195904"/>
        <c:axId val="73197440"/>
      </c:barChart>
      <c:catAx>
        <c:axId val="73195904"/>
        <c:scaling>
          <c:orientation val="minMax"/>
        </c:scaling>
        <c:delete val="1"/>
        <c:axPos val="l"/>
        <c:majorTickMark val="out"/>
        <c:minorTickMark val="none"/>
        <c:tickLblPos val="nextTo"/>
        <c:crossAx val="73197440"/>
        <c:crossesAt val="0"/>
        <c:auto val="1"/>
        <c:lblAlgn val="ctr"/>
        <c:lblOffset val="100"/>
        <c:noMultiLvlLbl val="0"/>
      </c:catAx>
      <c:valAx>
        <c:axId val="73197440"/>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195904"/>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2.02999999999999</c:v>
              </c:pt>
            </c:numLit>
          </c:val>
          <c:extLst>
            <c:ext xmlns:c16="http://schemas.microsoft.com/office/drawing/2014/chart" uri="{C3380CC4-5D6E-409C-BE32-E72D297353CC}">
              <c16:uniqueId val="{00000000-1921-452C-BB3F-34E279E07A06}"/>
            </c:ext>
          </c:extLst>
        </c:ser>
        <c:dLbls>
          <c:showLegendKey val="0"/>
          <c:showVal val="0"/>
          <c:showCatName val="0"/>
          <c:showSerName val="0"/>
          <c:showPercent val="0"/>
          <c:showBubbleSize val="0"/>
        </c:dLbls>
        <c:gapWidth val="0"/>
        <c:axId val="72836224"/>
        <c:axId val="72837760"/>
      </c:barChart>
      <c:catAx>
        <c:axId val="72836224"/>
        <c:scaling>
          <c:orientation val="minMax"/>
        </c:scaling>
        <c:delete val="1"/>
        <c:axPos val="l"/>
        <c:majorTickMark val="out"/>
        <c:minorTickMark val="none"/>
        <c:tickLblPos val="nextTo"/>
        <c:crossAx val="72837760"/>
        <c:crossesAt val="0"/>
        <c:auto val="1"/>
        <c:lblAlgn val="ctr"/>
        <c:lblOffset val="100"/>
        <c:noMultiLvlLbl val="0"/>
      </c:catAx>
      <c:valAx>
        <c:axId val="72837760"/>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2836224"/>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BE0D-4FC8-AD52-5F122D794370}"/>
            </c:ext>
          </c:extLst>
        </c:ser>
        <c:dLbls>
          <c:showLegendKey val="0"/>
          <c:showVal val="0"/>
          <c:showCatName val="0"/>
          <c:showSerName val="0"/>
          <c:showPercent val="0"/>
          <c:showBubbleSize val="0"/>
        </c:dLbls>
        <c:gapWidth val="0"/>
        <c:axId val="72852992"/>
        <c:axId val="72854528"/>
      </c:barChart>
      <c:catAx>
        <c:axId val="72852992"/>
        <c:scaling>
          <c:orientation val="minMax"/>
        </c:scaling>
        <c:delete val="1"/>
        <c:axPos val="l"/>
        <c:majorTickMark val="out"/>
        <c:minorTickMark val="none"/>
        <c:tickLblPos val="nextTo"/>
        <c:crossAx val="72854528"/>
        <c:crossesAt val="0"/>
        <c:auto val="1"/>
        <c:lblAlgn val="ctr"/>
        <c:lblOffset val="100"/>
        <c:noMultiLvlLbl val="0"/>
      </c:catAx>
      <c:valAx>
        <c:axId val="72854528"/>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2852992"/>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79C6-45FA-8610-24B508A03520}"/>
            </c:ext>
          </c:extLst>
        </c:ser>
        <c:dLbls>
          <c:showLegendKey val="0"/>
          <c:showVal val="0"/>
          <c:showCatName val="0"/>
          <c:showSerName val="0"/>
          <c:showPercent val="0"/>
          <c:showBubbleSize val="0"/>
        </c:dLbls>
        <c:gapWidth val="0"/>
        <c:axId val="72947968"/>
        <c:axId val="72957952"/>
      </c:barChart>
      <c:catAx>
        <c:axId val="72947968"/>
        <c:scaling>
          <c:orientation val="minMax"/>
        </c:scaling>
        <c:delete val="1"/>
        <c:axPos val="l"/>
        <c:majorTickMark val="out"/>
        <c:minorTickMark val="none"/>
        <c:tickLblPos val="nextTo"/>
        <c:crossAx val="72957952"/>
        <c:crossesAt val="0"/>
        <c:auto val="1"/>
        <c:lblAlgn val="ctr"/>
        <c:lblOffset val="100"/>
        <c:noMultiLvlLbl val="0"/>
      </c:catAx>
      <c:valAx>
        <c:axId val="7295795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2947968"/>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997D-4498-8FB1-976FE9AA1DA5}"/>
            </c:ext>
          </c:extLst>
        </c:ser>
        <c:dLbls>
          <c:showLegendKey val="0"/>
          <c:showVal val="0"/>
          <c:showCatName val="0"/>
          <c:showSerName val="0"/>
          <c:showPercent val="0"/>
          <c:showBubbleSize val="0"/>
        </c:dLbls>
        <c:gapWidth val="0"/>
        <c:axId val="72973312"/>
        <c:axId val="73003776"/>
      </c:barChart>
      <c:catAx>
        <c:axId val="72973312"/>
        <c:scaling>
          <c:orientation val="minMax"/>
        </c:scaling>
        <c:delete val="1"/>
        <c:axPos val="l"/>
        <c:majorTickMark val="out"/>
        <c:minorTickMark val="none"/>
        <c:tickLblPos val="nextTo"/>
        <c:crossAx val="73003776"/>
        <c:crossesAt val="0"/>
        <c:auto val="1"/>
        <c:lblAlgn val="ctr"/>
        <c:lblOffset val="100"/>
        <c:noMultiLvlLbl val="0"/>
      </c:catAx>
      <c:valAx>
        <c:axId val="73003776"/>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2973312"/>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FD92-4290-B109-9667DEE608E8}"/>
            </c:ext>
          </c:extLst>
        </c:ser>
        <c:dLbls>
          <c:showLegendKey val="0"/>
          <c:showVal val="0"/>
          <c:showCatName val="0"/>
          <c:showSerName val="0"/>
          <c:showPercent val="0"/>
          <c:showBubbleSize val="0"/>
        </c:dLbls>
        <c:gapWidth val="0"/>
        <c:axId val="73035776"/>
        <c:axId val="73037312"/>
      </c:barChart>
      <c:catAx>
        <c:axId val="73035776"/>
        <c:scaling>
          <c:orientation val="minMax"/>
        </c:scaling>
        <c:delete val="1"/>
        <c:axPos val="l"/>
        <c:majorTickMark val="out"/>
        <c:minorTickMark val="none"/>
        <c:tickLblPos val="nextTo"/>
        <c:crossAx val="73037312"/>
        <c:crossesAt val="0"/>
        <c:auto val="1"/>
        <c:lblAlgn val="ctr"/>
        <c:lblOffset val="100"/>
        <c:noMultiLvlLbl val="0"/>
      </c:catAx>
      <c:valAx>
        <c:axId val="7303731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035776"/>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7525-4002-966F-B4C8B5D27D97}"/>
            </c:ext>
          </c:extLst>
        </c:ser>
        <c:dLbls>
          <c:showLegendKey val="0"/>
          <c:showVal val="0"/>
          <c:showCatName val="0"/>
          <c:showSerName val="0"/>
          <c:showPercent val="0"/>
          <c:showBubbleSize val="0"/>
        </c:dLbls>
        <c:gapWidth val="0"/>
        <c:axId val="73057024"/>
        <c:axId val="73058560"/>
      </c:barChart>
      <c:catAx>
        <c:axId val="73057024"/>
        <c:scaling>
          <c:orientation val="minMax"/>
        </c:scaling>
        <c:delete val="1"/>
        <c:axPos val="l"/>
        <c:majorTickMark val="out"/>
        <c:minorTickMark val="none"/>
        <c:tickLblPos val="nextTo"/>
        <c:crossAx val="73058560"/>
        <c:crossesAt val="0"/>
        <c:auto val="1"/>
        <c:lblAlgn val="ctr"/>
        <c:lblOffset val="100"/>
        <c:noMultiLvlLbl val="0"/>
      </c:catAx>
      <c:valAx>
        <c:axId val="73058560"/>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057024"/>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3.5</c:v>
              </c:pt>
            </c:numLit>
          </c:val>
          <c:extLst>
            <c:ext xmlns:c16="http://schemas.microsoft.com/office/drawing/2014/chart" uri="{C3380CC4-5D6E-409C-BE32-E72D297353CC}">
              <c16:uniqueId val="{00000000-7527-4335-8281-64D5AC1A4252}"/>
            </c:ext>
          </c:extLst>
        </c:ser>
        <c:dLbls>
          <c:showLegendKey val="0"/>
          <c:showVal val="0"/>
          <c:showCatName val="0"/>
          <c:showSerName val="0"/>
          <c:showPercent val="0"/>
          <c:showBubbleSize val="0"/>
        </c:dLbls>
        <c:gapWidth val="0"/>
        <c:axId val="73213440"/>
        <c:axId val="73214976"/>
      </c:barChart>
      <c:catAx>
        <c:axId val="73213440"/>
        <c:scaling>
          <c:orientation val="minMax"/>
        </c:scaling>
        <c:delete val="1"/>
        <c:axPos val="l"/>
        <c:majorTickMark val="out"/>
        <c:minorTickMark val="none"/>
        <c:tickLblPos val="nextTo"/>
        <c:crossAx val="73214976"/>
        <c:crossesAt val="0"/>
        <c:auto val="1"/>
        <c:lblAlgn val="ctr"/>
        <c:lblOffset val="100"/>
        <c:noMultiLvlLbl val="0"/>
      </c:catAx>
      <c:valAx>
        <c:axId val="73214976"/>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213440"/>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1.5</c:v>
              </c:pt>
            </c:numLit>
          </c:val>
          <c:extLst>
            <c:ext xmlns:c16="http://schemas.microsoft.com/office/drawing/2014/chart" uri="{C3380CC4-5D6E-409C-BE32-E72D297353CC}">
              <c16:uniqueId val="{00000000-25A4-43D7-ABC8-D2CB7D89E16A}"/>
            </c:ext>
          </c:extLst>
        </c:ser>
        <c:dLbls>
          <c:showLegendKey val="0"/>
          <c:showVal val="0"/>
          <c:showCatName val="0"/>
          <c:showSerName val="0"/>
          <c:showPercent val="0"/>
          <c:showBubbleSize val="0"/>
        </c:dLbls>
        <c:gapWidth val="0"/>
        <c:axId val="73242880"/>
        <c:axId val="73244672"/>
      </c:barChart>
      <c:catAx>
        <c:axId val="73242880"/>
        <c:scaling>
          <c:orientation val="minMax"/>
        </c:scaling>
        <c:delete val="1"/>
        <c:axPos val="l"/>
        <c:majorTickMark val="out"/>
        <c:minorTickMark val="none"/>
        <c:tickLblPos val="nextTo"/>
        <c:crossAx val="73244672"/>
        <c:crossesAt val="0"/>
        <c:auto val="1"/>
        <c:lblAlgn val="ctr"/>
        <c:lblOffset val="100"/>
        <c:noMultiLvlLbl val="0"/>
      </c:catAx>
      <c:valAx>
        <c:axId val="7324467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242880"/>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3</c:v>
              </c:pt>
            </c:numLit>
          </c:val>
          <c:extLst>
            <c:ext xmlns:c16="http://schemas.microsoft.com/office/drawing/2014/chart" uri="{C3380CC4-5D6E-409C-BE32-E72D297353CC}">
              <c16:uniqueId val="{00000000-636C-44DD-8809-D645C4FBD59F}"/>
            </c:ext>
          </c:extLst>
        </c:ser>
        <c:dLbls>
          <c:showLegendKey val="0"/>
          <c:showVal val="0"/>
          <c:showCatName val="0"/>
          <c:showSerName val="0"/>
          <c:showPercent val="0"/>
          <c:showBubbleSize val="0"/>
        </c:dLbls>
        <c:gapWidth val="0"/>
        <c:axId val="73255936"/>
        <c:axId val="73270016"/>
      </c:barChart>
      <c:catAx>
        <c:axId val="73255936"/>
        <c:scaling>
          <c:orientation val="minMax"/>
        </c:scaling>
        <c:delete val="1"/>
        <c:axPos val="l"/>
        <c:majorTickMark val="out"/>
        <c:minorTickMark val="none"/>
        <c:tickLblPos val="nextTo"/>
        <c:crossAx val="73270016"/>
        <c:crossesAt val="0"/>
        <c:auto val="1"/>
        <c:lblAlgn val="ctr"/>
        <c:lblOffset val="100"/>
        <c:noMultiLvlLbl val="0"/>
      </c:catAx>
      <c:valAx>
        <c:axId val="73270016"/>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255936"/>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2197-4F9E-BC93-53610B981370}"/>
            </c:ext>
          </c:extLst>
        </c:ser>
        <c:ser>
          <c:idx val="1"/>
          <c:order val="1"/>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2197-4F9E-BC93-53610B981370}"/>
            </c:ext>
          </c:extLst>
        </c:ser>
        <c:ser>
          <c:idx val="2"/>
          <c:order val="2"/>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2197-4F9E-BC93-53610B981370}"/>
            </c:ext>
          </c:extLst>
        </c:ser>
        <c:ser>
          <c:idx val="3"/>
          <c:order val="3"/>
          <c:spPr>
            <a:pattFill prst="pct50">
              <a:fgClr>
                <a:srgbClr val="CCCCFF"/>
              </a:fgClr>
              <a:bgClr>
                <a:srgbClr val="FFFFFF"/>
              </a:bgClr>
            </a:patt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結果!$Z$8:$Z$13</c:f>
              <c:numCache>
                <c:formatCode>General</c:formatCode>
                <c:ptCount val="6"/>
                <c:pt idx="0">
                  <c:v>3</c:v>
                </c:pt>
                <c:pt idx="1">
                  <c:v>3</c:v>
                </c:pt>
                <c:pt idx="2">
                  <c:v>0</c:v>
                </c:pt>
                <c:pt idx="3">
                  <c:v>3</c:v>
                </c:pt>
                <c:pt idx="4">
                  <c:v>0</c:v>
                </c:pt>
                <c:pt idx="5">
                  <c:v>3.1</c:v>
                </c:pt>
              </c:numCache>
            </c:numRef>
          </c:val>
          <c:extLst>
            <c:ext xmlns:c16="http://schemas.microsoft.com/office/drawing/2014/chart" uri="{C3380CC4-5D6E-409C-BE32-E72D297353CC}">
              <c16:uniqueId val="{00000003-2197-4F9E-BC93-53610B981370}"/>
            </c:ext>
          </c:extLst>
        </c:ser>
        <c:ser>
          <c:idx val="4"/>
          <c:order val="4"/>
          <c:spPr>
            <a:noFill/>
            <a:ln w="12700">
              <a:solidFill>
                <a:srgbClr val="FF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2197-4F9E-BC93-53610B981370}"/>
            </c:ext>
          </c:extLst>
        </c:ser>
        <c:dLbls>
          <c:showLegendKey val="0"/>
          <c:showVal val="0"/>
          <c:showCatName val="0"/>
          <c:showSerName val="0"/>
          <c:showPercent val="0"/>
          <c:showBubbleSize val="0"/>
        </c:dLbls>
        <c:axId val="69276416"/>
        <c:axId val="69277952"/>
      </c:radarChart>
      <c:catAx>
        <c:axId val="6927641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69277952"/>
        <c:crosses val="autoZero"/>
        <c:auto val="0"/>
        <c:lblAlgn val="ctr"/>
        <c:lblOffset val="100"/>
        <c:noMultiLvlLbl val="0"/>
      </c:catAx>
      <c:valAx>
        <c:axId val="69277952"/>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6927641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4.5</c:v>
              </c:pt>
            </c:numLit>
          </c:val>
          <c:extLst>
            <c:ext xmlns:c16="http://schemas.microsoft.com/office/drawing/2014/chart" uri="{C3380CC4-5D6E-409C-BE32-E72D297353CC}">
              <c16:uniqueId val="{00000000-ABBD-483F-ABB2-9DCF0AB066C5}"/>
            </c:ext>
          </c:extLst>
        </c:ser>
        <c:dLbls>
          <c:showLegendKey val="0"/>
          <c:showVal val="0"/>
          <c:showCatName val="0"/>
          <c:showSerName val="0"/>
          <c:showPercent val="0"/>
          <c:showBubbleSize val="0"/>
        </c:dLbls>
        <c:gapWidth val="0"/>
        <c:axId val="73289728"/>
        <c:axId val="73291264"/>
      </c:barChart>
      <c:catAx>
        <c:axId val="73289728"/>
        <c:scaling>
          <c:orientation val="minMax"/>
        </c:scaling>
        <c:delete val="1"/>
        <c:axPos val="l"/>
        <c:majorTickMark val="out"/>
        <c:minorTickMark val="none"/>
        <c:tickLblPos val="nextTo"/>
        <c:crossAx val="73291264"/>
        <c:crossesAt val="0"/>
        <c:auto val="1"/>
        <c:lblAlgn val="ctr"/>
        <c:lblOffset val="100"/>
        <c:noMultiLvlLbl val="0"/>
      </c:catAx>
      <c:valAx>
        <c:axId val="73291264"/>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289728"/>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2.02999999999999</c:v>
              </c:pt>
            </c:numLit>
          </c:val>
          <c:extLst>
            <c:ext xmlns:c16="http://schemas.microsoft.com/office/drawing/2014/chart" uri="{C3380CC4-5D6E-409C-BE32-E72D297353CC}">
              <c16:uniqueId val="{00000000-9F34-4B24-B112-25BE34470ABF}"/>
            </c:ext>
          </c:extLst>
        </c:ser>
        <c:dLbls>
          <c:showLegendKey val="0"/>
          <c:showVal val="0"/>
          <c:showCatName val="0"/>
          <c:showSerName val="0"/>
          <c:showPercent val="0"/>
          <c:showBubbleSize val="0"/>
        </c:dLbls>
        <c:gapWidth val="0"/>
        <c:axId val="73319168"/>
        <c:axId val="73320704"/>
      </c:barChart>
      <c:catAx>
        <c:axId val="73319168"/>
        <c:scaling>
          <c:orientation val="minMax"/>
        </c:scaling>
        <c:delete val="1"/>
        <c:axPos val="l"/>
        <c:majorTickMark val="out"/>
        <c:minorTickMark val="none"/>
        <c:tickLblPos val="nextTo"/>
        <c:crossAx val="73320704"/>
        <c:crossesAt val="0"/>
        <c:auto val="1"/>
        <c:lblAlgn val="ctr"/>
        <c:lblOffset val="100"/>
        <c:noMultiLvlLbl val="0"/>
      </c:catAx>
      <c:valAx>
        <c:axId val="73320704"/>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319168"/>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52F8-45E7-A113-D94B147836E0}"/>
            </c:ext>
          </c:extLst>
        </c:ser>
        <c:dLbls>
          <c:showLegendKey val="0"/>
          <c:showVal val="0"/>
          <c:showCatName val="0"/>
          <c:showSerName val="0"/>
          <c:showPercent val="0"/>
          <c:showBubbleSize val="0"/>
        </c:dLbls>
        <c:gapWidth val="0"/>
        <c:axId val="73410048"/>
        <c:axId val="73411584"/>
      </c:barChart>
      <c:catAx>
        <c:axId val="73410048"/>
        <c:scaling>
          <c:orientation val="minMax"/>
        </c:scaling>
        <c:delete val="1"/>
        <c:axPos val="l"/>
        <c:majorTickMark val="out"/>
        <c:minorTickMark val="none"/>
        <c:tickLblPos val="nextTo"/>
        <c:crossAx val="73411584"/>
        <c:crossesAt val="0"/>
        <c:auto val="1"/>
        <c:lblAlgn val="ctr"/>
        <c:lblOffset val="100"/>
        <c:noMultiLvlLbl val="0"/>
      </c:catAx>
      <c:valAx>
        <c:axId val="73411584"/>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410048"/>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0FAC-49E5-A8E0-1F8627FFDDDB}"/>
            </c:ext>
          </c:extLst>
        </c:ser>
        <c:dLbls>
          <c:showLegendKey val="0"/>
          <c:showVal val="0"/>
          <c:showCatName val="0"/>
          <c:showSerName val="0"/>
          <c:showPercent val="0"/>
          <c:showBubbleSize val="0"/>
        </c:dLbls>
        <c:gapWidth val="0"/>
        <c:axId val="73431296"/>
        <c:axId val="73449472"/>
      </c:barChart>
      <c:catAx>
        <c:axId val="73431296"/>
        <c:scaling>
          <c:orientation val="minMax"/>
        </c:scaling>
        <c:delete val="1"/>
        <c:axPos val="l"/>
        <c:majorTickMark val="out"/>
        <c:minorTickMark val="none"/>
        <c:tickLblPos val="nextTo"/>
        <c:crossAx val="73449472"/>
        <c:crossesAt val="0"/>
        <c:auto val="1"/>
        <c:lblAlgn val="ctr"/>
        <c:lblOffset val="100"/>
        <c:noMultiLvlLbl val="0"/>
      </c:catAx>
      <c:valAx>
        <c:axId val="7344947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431296"/>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FC70-4690-A304-E606DAAD4A6A}"/>
            </c:ext>
          </c:extLst>
        </c:ser>
        <c:dLbls>
          <c:showLegendKey val="0"/>
          <c:showVal val="0"/>
          <c:showCatName val="0"/>
          <c:showSerName val="0"/>
          <c:showPercent val="0"/>
          <c:showBubbleSize val="0"/>
        </c:dLbls>
        <c:gapWidth val="0"/>
        <c:axId val="73456640"/>
        <c:axId val="73458432"/>
      </c:barChart>
      <c:catAx>
        <c:axId val="73456640"/>
        <c:scaling>
          <c:orientation val="minMax"/>
        </c:scaling>
        <c:delete val="1"/>
        <c:axPos val="l"/>
        <c:majorTickMark val="out"/>
        <c:minorTickMark val="none"/>
        <c:tickLblPos val="nextTo"/>
        <c:crossAx val="73458432"/>
        <c:crossesAt val="0"/>
        <c:auto val="1"/>
        <c:lblAlgn val="ctr"/>
        <c:lblOffset val="100"/>
        <c:noMultiLvlLbl val="0"/>
      </c:catAx>
      <c:valAx>
        <c:axId val="7345843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456640"/>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88F3-4069-90D1-9327E3DCF809}"/>
            </c:ext>
          </c:extLst>
        </c:ser>
        <c:dLbls>
          <c:showLegendKey val="0"/>
          <c:showVal val="0"/>
          <c:showCatName val="0"/>
          <c:showSerName val="0"/>
          <c:showPercent val="0"/>
          <c:showBubbleSize val="0"/>
        </c:dLbls>
        <c:gapWidth val="0"/>
        <c:axId val="73568256"/>
        <c:axId val="73569792"/>
      </c:barChart>
      <c:catAx>
        <c:axId val="73568256"/>
        <c:scaling>
          <c:orientation val="minMax"/>
        </c:scaling>
        <c:delete val="1"/>
        <c:axPos val="l"/>
        <c:majorTickMark val="out"/>
        <c:minorTickMark val="none"/>
        <c:tickLblPos val="nextTo"/>
        <c:crossAx val="73569792"/>
        <c:crossesAt val="0"/>
        <c:auto val="1"/>
        <c:lblAlgn val="ctr"/>
        <c:lblOffset val="100"/>
        <c:noMultiLvlLbl val="0"/>
      </c:catAx>
      <c:valAx>
        <c:axId val="7356979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568256"/>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3C44-4511-B99E-521C44E4337C}"/>
            </c:ext>
          </c:extLst>
        </c:ser>
        <c:dLbls>
          <c:showLegendKey val="0"/>
          <c:showVal val="0"/>
          <c:showCatName val="0"/>
          <c:showSerName val="0"/>
          <c:showPercent val="0"/>
          <c:showBubbleSize val="0"/>
        </c:dLbls>
        <c:gapWidth val="0"/>
        <c:axId val="73589504"/>
        <c:axId val="73591040"/>
      </c:barChart>
      <c:catAx>
        <c:axId val="73589504"/>
        <c:scaling>
          <c:orientation val="minMax"/>
        </c:scaling>
        <c:delete val="1"/>
        <c:axPos val="l"/>
        <c:majorTickMark val="out"/>
        <c:minorTickMark val="none"/>
        <c:tickLblPos val="nextTo"/>
        <c:crossAx val="73591040"/>
        <c:crossesAt val="0"/>
        <c:auto val="1"/>
        <c:lblAlgn val="ctr"/>
        <c:lblOffset val="100"/>
        <c:noMultiLvlLbl val="0"/>
      </c:catAx>
      <c:valAx>
        <c:axId val="73591040"/>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589504"/>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E4AD-4A08-B9D6-F8A2054E0612}"/>
            </c:ext>
          </c:extLst>
        </c:ser>
        <c:dLbls>
          <c:showLegendKey val="0"/>
          <c:showVal val="0"/>
          <c:showCatName val="0"/>
          <c:showSerName val="0"/>
          <c:showPercent val="0"/>
          <c:showBubbleSize val="0"/>
        </c:dLbls>
        <c:gapWidth val="0"/>
        <c:axId val="73627136"/>
        <c:axId val="73628672"/>
      </c:barChart>
      <c:catAx>
        <c:axId val="73627136"/>
        <c:scaling>
          <c:orientation val="minMax"/>
        </c:scaling>
        <c:delete val="1"/>
        <c:axPos val="l"/>
        <c:majorTickMark val="out"/>
        <c:minorTickMark val="none"/>
        <c:tickLblPos val="nextTo"/>
        <c:crossAx val="73628672"/>
        <c:crossesAt val="0"/>
        <c:auto val="1"/>
        <c:lblAlgn val="ctr"/>
        <c:lblOffset val="100"/>
        <c:noMultiLvlLbl val="0"/>
      </c:catAx>
      <c:valAx>
        <c:axId val="7362867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627136"/>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CCD9-45BA-8A2F-A3F6394751C1}"/>
            </c:ext>
          </c:extLst>
        </c:ser>
        <c:dLbls>
          <c:showLegendKey val="0"/>
          <c:showVal val="0"/>
          <c:showCatName val="0"/>
          <c:showSerName val="0"/>
          <c:showPercent val="0"/>
          <c:showBubbleSize val="0"/>
        </c:dLbls>
        <c:gapWidth val="0"/>
        <c:axId val="73644288"/>
        <c:axId val="73654272"/>
      </c:barChart>
      <c:catAx>
        <c:axId val="73644288"/>
        <c:scaling>
          <c:orientation val="minMax"/>
        </c:scaling>
        <c:delete val="1"/>
        <c:axPos val="l"/>
        <c:majorTickMark val="out"/>
        <c:minorTickMark val="none"/>
        <c:tickLblPos val="nextTo"/>
        <c:crossAx val="73654272"/>
        <c:crossesAt val="0"/>
        <c:auto val="1"/>
        <c:lblAlgn val="ctr"/>
        <c:lblOffset val="100"/>
        <c:noMultiLvlLbl val="0"/>
      </c:catAx>
      <c:valAx>
        <c:axId val="7365427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644288"/>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35BA-4E63-8651-E072CA1B0A6F}"/>
            </c:ext>
          </c:extLst>
        </c:ser>
        <c:dLbls>
          <c:showLegendKey val="0"/>
          <c:showVal val="0"/>
          <c:showCatName val="0"/>
          <c:showSerName val="0"/>
          <c:showPercent val="0"/>
          <c:showBubbleSize val="0"/>
        </c:dLbls>
        <c:gapWidth val="0"/>
        <c:axId val="73677824"/>
        <c:axId val="73683712"/>
      </c:barChart>
      <c:catAx>
        <c:axId val="73677824"/>
        <c:scaling>
          <c:orientation val="minMax"/>
        </c:scaling>
        <c:delete val="1"/>
        <c:axPos val="l"/>
        <c:majorTickMark val="out"/>
        <c:minorTickMark val="none"/>
        <c:tickLblPos val="nextTo"/>
        <c:crossAx val="73683712"/>
        <c:crossesAt val="0"/>
        <c:auto val="1"/>
        <c:lblAlgn val="ctr"/>
        <c:lblOffset val="100"/>
        <c:noMultiLvlLbl val="0"/>
      </c:catAx>
      <c:valAx>
        <c:axId val="7368371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677824"/>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B64-4066-A87E-C2197B66703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B64-4066-A87E-C2197B66703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B64-4066-A87E-C2197B66703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結果!$U$49:$U$51</c:f>
              <c:strCache>
                <c:ptCount val="3"/>
                <c:pt idx="0">
                  <c:v>機能性</c:v>
                </c:pt>
                <c:pt idx="1">
                  <c:v>耐用性・信頼性</c:v>
                </c:pt>
                <c:pt idx="2">
                  <c:v>対応性･更新性</c:v>
                </c:pt>
              </c:strCache>
            </c:strRef>
          </c:cat>
          <c:val>
            <c:numRef>
              <c:f>結果!$V$49:$V$51</c:f>
              <c:numCache>
                <c:formatCode>0.0_ </c:formatCode>
                <c:ptCount val="3"/>
                <c:pt idx="0">
                  <c:v>3</c:v>
                </c:pt>
                <c:pt idx="1">
                  <c:v>3</c:v>
                </c:pt>
                <c:pt idx="2">
                  <c:v>3</c:v>
                </c:pt>
              </c:numCache>
            </c:numRef>
          </c:val>
          <c:extLst>
            <c:ext xmlns:c16="http://schemas.microsoft.com/office/drawing/2014/chart" uri="{C3380CC4-5D6E-409C-BE32-E72D297353CC}">
              <c16:uniqueId val="{00000003-FB64-4066-A87E-C2197B667037}"/>
            </c:ext>
          </c:extLst>
        </c:ser>
        <c:dLbls>
          <c:showLegendKey val="0"/>
          <c:showVal val="1"/>
          <c:showCatName val="0"/>
          <c:showSerName val="0"/>
          <c:showPercent val="0"/>
          <c:showBubbleSize val="0"/>
        </c:dLbls>
        <c:gapWidth val="70"/>
        <c:axId val="69297664"/>
        <c:axId val="69299200"/>
      </c:barChart>
      <c:catAx>
        <c:axId val="69297664"/>
        <c:scaling>
          <c:orientation val="minMax"/>
        </c:scaling>
        <c:delete val="0"/>
        <c:axPos val="b"/>
        <c:numFmt formatCode="General" sourceLinked="1"/>
        <c:majorTickMark val="none"/>
        <c:minorTickMark val="none"/>
        <c:tickLblPos val="none"/>
        <c:spPr>
          <a:ln w="3175">
            <a:solidFill>
              <a:srgbClr val="000000"/>
            </a:solidFill>
            <a:prstDash val="solid"/>
          </a:ln>
        </c:spPr>
        <c:crossAx val="69299200"/>
        <c:crossesAt val="0"/>
        <c:auto val="1"/>
        <c:lblAlgn val="ctr"/>
        <c:lblOffset val="100"/>
        <c:tickMarkSkip val="1"/>
        <c:noMultiLvlLbl val="0"/>
      </c:catAx>
      <c:valAx>
        <c:axId val="69299200"/>
        <c:scaling>
          <c:orientation val="minMax"/>
          <c:max val="5"/>
          <c:min val="1"/>
        </c:scaling>
        <c:delete val="1"/>
        <c:axPos val="l"/>
        <c:majorGridlines>
          <c:spPr>
            <a:ln w="3175">
              <a:solidFill>
                <a:srgbClr val="FF0000"/>
              </a:solidFill>
              <a:prstDash val="solid"/>
            </a:ln>
          </c:spPr>
        </c:majorGridlines>
        <c:minorGridlines>
          <c:spPr>
            <a:ln>
              <a:solidFill>
                <a:schemeClr val="tx1"/>
              </a:solidFill>
            </a:ln>
          </c:spPr>
        </c:minorGridlines>
        <c:numFmt formatCode="General" sourceLinked="0"/>
        <c:majorTickMark val="in"/>
        <c:minorTickMark val="none"/>
        <c:tickLblPos val="nextTo"/>
        <c:crossAx val="69297664"/>
        <c:crosses val="autoZero"/>
        <c:crossBetween val="between"/>
        <c:majorUnit val="2"/>
        <c:minorUnit val="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1FB0-4C49-AB9A-B510359DD7BB}"/>
            </c:ext>
          </c:extLst>
        </c:ser>
        <c:dLbls>
          <c:showLegendKey val="0"/>
          <c:showVal val="0"/>
          <c:showCatName val="0"/>
          <c:showSerName val="0"/>
          <c:showPercent val="0"/>
          <c:showBubbleSize val="0"/>
        </c:dLbls>
        <c:gapWidth val="0"/>
        <c:axId val="73715712"/>
        <c:axId val="73717248"/>
      </c:barChart>
      <c:catAx>
        <c:axId val="73715712"/>
        <c:scaling>
          <c:orientation val="minMax"/>
        </c:scaling>
        <c:delete val="1"/>
        <c:axPos val="l"/>
        <c:majorTickMark val="out"/>
        <c:minorTickMark val="none"/>
        <c:tickLblPos val="nextTo"/>
        <c:crossAx val="73717248"/>
        <c:crossesAt val="0"/>
        <c:auto val="1"/>
        <c:lblAlgn val="ctr"/>
        <c:lblOffset val="100"/>
        <c:noMultiLvlLbl val="0"/>
      </c:catAx>
      <c:valAx>
        <c:axId val="73717248"/>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715712"/>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AFD1-426F-99F9-6556B231D211}"/>
            </c:ext>
          </c:extLst>
        </c:ser>
        <c:dLbls>
          <c:showLegendKey val="0"/>
          <c:showVal val="0"/>
          <c:showCatName val="0"/>
          <c:showSerName val="0"/>
          <c:showPercent val="0"/>
          <c:showBubbleSize val="0"/>
        </c:dLbls>
        <c:gapWidth val="0"/>
        <c:axId val="73806592"/>
        <c:axId val="73808128"/>
      </c:barChart>
      <c:catAx>
        <c:axId val="73806592"/>
        <c:scaling>
          <c:orientation val="minMax"/>
        </c:scaling>
        <c:delete val="1"/>
        <c:axPos val="l"/>
        <c:majorTickMark val="out"/>
        <c:minorTickMark val="none"/>
        <c:tickLblPos val="nextTo"/>
        <c:crossAx val="73808128"/>
        <c:crossesAt val="0"/>
        <c:auto val="1"/>
        <c:lblAlgn val="ctr"/>
        <c:lblOffset val="100"/>
        <c:noMultiLvlLbl val="0"/>
      </c:catAx>
      <c:valAx>
        <c:axId val="73808128"/>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806592"/>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41089846478983E-2"/>
          <c:y val="6.4103366678769522E-2"/>
          <c:w val="0.95641265127366604"/>
          <c:h val="0.88462646016701929"/>
        </c:manualLayout>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独自ｼｽﾃﾑ!$Q$17</c:f>
              <c:numCache>
                <c:formatCode>General</c:formatCode>
                <c:ptCount val="1"/>
                <c:pt idx="0">
                  <c:v>3</c:v>
                </c:pt>
              </c:numCache>
            </c:numRef>
          </c:val>
          <c:extLst>
            <c:ext xmlns:c16="http://schemas.microsoft.com/office/drawing/2014/chart" uri="{C3380CC4-5D6E-409C-BE32-E72D297353CC}">
              <c16:uniqueId val="{00000000-0955-4AB1-A76C-8599A26C2DDC}"/>
            </c:ext>
          </c:extLst>
        </c:ser>
        <c:dLbls>
          <c:showLegendKey val="0"/>
          <c:showVal val="0"/>
          <c:showCatName val="0"/>
          <c:showSerName val="0"/>
          <c:showPercent val="0"/>
          <c:showBubbleSize val="0"/>
        </c:dLbls>
        <c:gapWidth val="0"/>
        <c:axId val="73819648"/>
        <c:axId val="73821184"/>
      </c:barChart>
      <c:catAx>
        <c:axId val="73819648"/>
        <c:scaling>
          <c:orientation val="minMax"/>
        </c:scaling>
        <c:delete val="1"/>
        <c:axPos val="l"/>
        <c:majorTickMark val="out"/>
        <c:minorTickMark val="none"/>
        <c:tickLblPos val="nextTo"/>
        <c:crossAx val="73821184"/>
        <c:crossesAt val="0"/>
        <c:auto val="1"/>
        <c:lblAlgn val="ctr"/>
        <c:lblOffset val="100"/>
        <c:noMultiLvlLbl val="0"/>
      </c:catAx>
      <c:valAx>
        <c:axId val="73821184"/>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3819648"/>
        <c:crosses val="autoZero"/>
        <c:crossBetween val="between"/>
        <c:majorUnit val="1"/>
        <c:minorUnit val="0.1"/>
      </c:valAx>
      <c:spPr>
        <a:noFill/>
        <a:ln w="25400">
          <a:noFill/>
        </a:ln>
      </c:spPr>
    </c:plotArea>
    <c:plotVisOnly val="0"/>
    <c:dispBlanksAs val="gap"/>
    <c:showDLblsOverMax val="0"/>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41089846478983E-2"/>
          <c:y val="6.6667534733525172E-2"/>
          <c:w val="0.95641265127366604"/>
          <c:h val="0.89334496542923736"/>
        </c:manualLayout>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独自ｼｽﾃﾑ!$Q$20</c:f>
              <c:numCache>
                <c:formatCode>General</c:formatCode>
                <c:ptCount val="1"/>
                <c:pt idx="0">
                  <c:v>3</c:v>
                </c:pt>
              </c:numCache>
            </c:numRef>
          </c:val>
          <c:extLst>
            <c:ext xmlns:c16="http://schemas.microsoft.com/office/drawing/2014/chart" uri="{C3380CC4-5D6E-409C-BE32-E72D297353CC}">
              <c16:uniqueId val="{00000000-E957-4D22-935B-B691C5CF7F8D}"/>
            </c:ext>
          </c:extLst>
        </c:ser>
        <c:dLbls>
          <c:showLegendKey val="0"/>
          <c:showVal val="0"/>
          <c:showCatName val="0"/>
          <c:showSerName val="0"/>
          <c:showPercent val="0"/>
          <c:showBubbleSize val="0"/>
        </c:dLbls>
        <c:gapWidth val="0"/>
        <c:axId val="74135808"/>
        <c:axId val="74141696"/>
      </c:barChart>
      <c:catAx>
        <c:axId val="74135808"/>
        <c:scaling>
          <c:orientation val="minMax"/>
        </c:scaling>
        <c:delete val="1"/>
        <c:axPos val="l"/>
        <c:majorTickMark val="out"/>
        <c:minorTickMark val="none"/>
        <c:tickLblPos val="nextTo"/>
        <c:crossAx val="74141696"/>
        <c:crossesAt val="0"/>
        <c:auto val="1"/>
        <c:lblAlgn val="ctr"/>
        <c:lblOffset val="100"/>
        <c:noMultiLvlLbl val="0"/>
      </c:catAx>
      <c:valAx>
        <c:axId val="74141696"/>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4135808"/>
        <c:crosses val="autoZero"/>
        <c:crossBetween val="between"/>
        <c:majorUnit val="1"/>
        <c:minorUnit val="0.1"/>
      </c:valAx>
      <c:spPr>
        <a:noFill/>
        <a:ln w="25400">
          <a:noFill/>
        </a:ln>
      </c:spPr>
    </c:plotArea>
    <c:plotVisOnly val="0"/>
    <c:dispBlanksAs val="gap"/>
    <c:showDLblsOverMax val="0"/>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41089846478983E-2"/>
          <c:y val="6.6667534733525172E-2"/>
          <c:w val="0.95641265127366604"/>
          <c:h val="0.89334496542923736"/>
        </c:manualLayout>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独自ｼｽﾃﾑ!$Q$23</c:f>
              <c:numCache>
                <c:formatCode>General</c:formatCode>
                <c:ptCount val="1"/>
                <c:pt idx="0">
                  <c:v>3</c:v>
                </c:pt>
              </c:numCache>
            </c:numRef>
          </c:val>
          <c:extLst>
            <c:ext xmlns:c16="http://schemas.microsoft.com/office/drawing/2014/chart" uri="{C3380CC4-5D6E-409C-BE32-E72D297353CC}">
              <c16:uniqueId val="{00000000-A4D2-47D7-95C7-0A303A8E2BC6}"/>
            </c:ext>
          </c:extLst>
        </c:ser>
        <c:dLbls>
          <c:showLegendKey val="0"/>
          <c:showVal val="0"/>
          <c:showCatName val="0"/>
          <c:showSerName val="0"/>
          <c:showPercent val="0"/>
          <c:showBubbleSize val="0"/>
        </c:dLbls>
        <c:gapWidth val="0"/>
        <c:axId val="74148864"/>
        <c:axId val="74154752"/>
      </c:barChart>
      <c:catAx>
        <c:axId val="74148864"/>
        <c:scaling>
          <c:orientation val="minMax"/>
        </c:scaling>
        <c:delete val="1"/>
        <c:axPos val="l"/>
        <c:majorTickMark val="out"/>
        <c:minorTickMark val="none"/>
        <c:tickLblPos val="nextTo"/>
        <c:crossAx val="74154752"/>
        <c:crossesAt val="0"/>
        <c:auto val="1"/>
        <c:lblAlgn val="ctr"/>
        <c:lblOffset val="100"/>
        <c:noMultiLvlLbl val="0"/>
      </c:catAx>
      <c:valAx>
        <c:axId val="74154752"/>
        <c:scaling>
          <c:orientation val="minMax"/>
          <c:max val="5"/>
          <c:min val="0"/>
        </c:scaling>
        <c:delete val="1"/>
        <c:axPos val="b"/>
        <c:majorGridlines>
          <c:spPr>
            <a:ln w="3175">
              <a:solidFill>
                <a:srgbClr val="FFFFFF"/>
              </a:solidFill>
              <a:prstDash val="solid"/>
            </a:ln>
          </c:spPr>
        </c:majorGridlines>
        <c:numFmt formatCode="General" sourceLinked="1"/>
        <c:majorTickMark val="out"/>
        <c:minorTickMark val="none"/>
        <c:tickLblPos val="nextTo"/>
        <c:crossAx val="74148864"/>
        <c:crosses val="autoZero"/>
        <c:crossBetween val="between"/>
        <c:majorUnit val="1"/>
        <c:minorUnit val="0.1"/>
      </c:valAx>
      <c:spPr>
        <a:noFill/>
        <a:ln w="25400">
          <a:noFill/>
        </a:ln>
      </c:spPr>
    </c:plotArea>
    <c:plotVisOnly val="0"/>
    <c:dispBlanksAs val="gap"/>
    <c:showDLblsOverMax val="0"/>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6109-4D6A-8122-D5FF17E5734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6109-4D6A-8122-D5FF17E5734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6109-4D6A-8122-D5FF17E5734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結果!$X$49:$X$51</c:f>
              <c:strCache>
                <c:ptCount val="3"/>
                <c:pt idx="0">
                  <c:v>生物資源</c:v>
                </c:pt>
                <c:pt idx="1">
                  <c:v>まちなみ景観</c:v>
                </c:pt>
                <c:pt idx="2">
                  <c:v>地域性・文化</c:v>
                </c:pt>
              </c:strCache>
            </c:strRef>
          </c:cat>
          <c:val>
            <c:numRef>
              <c:f>結果!$Y$49:$Y$51</c:f>
              <c:numCache>
                <c:formatCode>0.0_ </c:formatCode>
                <c:ptCount val="3"/>
                <c:pt idx="0">
                  <c:v>3</c:v>
                </c:pt>
                <c:pt idx="1">
                  <c:v>3</c:v>
                </c:pt>
                <c:pt idx="2">
                  <c:v>3</c:v>
                </c:pt>
              </c:numCache>
            </c:numRef>
          </c:val>
          <c:extLst>
            <c:ext xmlns:c16="http://schemas.microsoft.com/office/drawing/2014/chart" uri="{C3380CC4-5D6E-409C-BE32-E72D297353CC}">
              <c16:uniqueId val="{00000003-6109-4D6A-8122-D5FF17E57349}"/>
            </c:ext>
          </c:extLst>
        </c:ser>
        <c:dLbls>
          <c:showLegendKey val="0"/>
          <c:showVal val="1"/>
          <c:showCatName val="0"/>
          <c:showSerName val="0"/>
          <c:showPercent val="0"/>
          <c:showBubbleSize val="0"/>
        </c:dLbls>
        <c:gapWidth val="70"/>
        <c:axId val="69100672"/>
        <c:axId val="69102208"/>
      </c:barChart>
      <c:catAx>
        <c:axId val="69100672"/>
        <c:scaling>
          <c:orientation val="minMax"/>
        </c:scaling>
        <c:delete val="0"/>
        <c:axPos val="b"/>
        <c:numFmt formatCode="General" sourceLinked="1"/>
        <c:majorTickMark val="none"/>
        <c:minorTickMark val="none"/>
        <c:tickLblPos val="none"/>
        <c:spPr>
          <a:ln w="3175">
            <a:solidFill>
              <a:srgbClr val="000000"/>
            </a:solidFill>
            <a:prstDash val="solid"/>
          </a:ln>
        </c:spPr>
        <c:crossAx val="69102208"/>
        <c:crossesAt val="0"/>
        <c:auto val="1"/>
        <c:lblAlgn val="ctr"/>
        <c:lblOffset val="100"/>
        <c:tickMarkSkip val="1"/>
        <c:noMultiLvlLbl val="0"/>
      </c:catAx>
      <c:valAx>
        <c:axId val="69102208"/>
        <c:scaling>
          <c:orientation val="minMax"/>
          <c:max val="5"/>
          <c:min val="1"/>
        </c:scaling>
        <c:delete val="1"/>
        <c:axPos val="l"/>
        <c:majorGridlines>
          <c:spPr>
            <a:ln w="3175">
              <a:solidFill>
                <a:srgbClr val="FF0000"/>
              </a:solidFill>
              <a:prstDash val="solid"/>
            </a:ln>
          </c:spPr>
        </c:majorGridlines>
        <c:minorGridlines>
          <c:spPr>
            <a:ln>
              <a:solidFill>
                <a:schemeClr val="tx1"/>
              </a:solidFill>
            </a:ln>
          </c:spPr>
        </c:minorGridlines>
        <c:numFmt formatCode="General" sourceLinked="0"/>
        <c:majorTickMark val="in"/>
        <c:minorTickMark val="none"/>
        <c:tickLblPos val="nextTo"/>
        <c:crossAx val="69100672"/>
        <c:crosses val="autoZero"/>
        <c:crossBetween val="between"/>
        <c:majorUnit val="2"/>
        <c:minorUnit val="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E17C-4EE5-9309-CB391D23C8B8}"/>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E17C-4EE5-9309-CB391D23C8B8}"/>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E17C-4EE5-9309-CB391D23C8B8}"/>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E17C-4EE5-9309-CB391D23C8B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結果!$R$60:$R$63</c:f>
              <c:strCache>
                <c:ptCount val="4"/>
                <c:pt idx="0">
                  <c:v>熱負荷抑制</c:v>
                </c:pt>
                <c:pt idx="1">
                  <c:v>自然ｴﾈﾙｷﾞｰ</c:v>
                </c:pt>
                <c:pt idx="2">
                  <c:v>設備の効率的利用</c:v>
                </c:pt>
                <c:pt idx="3">
                  <c:v>運用ﾏﾈｼﾞﾒﾝﾄ</c:v>
                </c:pt>
              </c:strCache>
            </c:strRef>
          </c:cat>
          <c:val>
            <c:numRef>
              <c:f>結果!$S$60:$S$63</c:f>
              <c:numCache>
                <c:formatCode>#,##0.0;[Red]\-#,##0.0</c:formatCode>
                <c:ptCount val="4"/>
                <c:pt idx="0">
                  <c:v>1</c:v>
                </c:pt>
                <c:pt idx="1">
                  <c:v>3</c:v>
                </c:pt>
                <c:pt idx="2">
                  <c:v>0</c:v>
                </c:pt>
                <c:pt idx="3">
                  <c:v>3</c:v>
                </c:pt>
              </c:numCache>
            </c:numRef>
          </c:val>
          <c:extLst>
            <c:ext xmlns:c16="http://schemas.microsoft.com/office/drawing/2014/chart" uri="{C3380CC4-5D6E-409C-BE32-E72D297353CC}">
              <c16:uniqueId val="{00000004-E17C-4EE5-9309-CB391D23C8B8}"/>
            </c:ext>
          </c:extLst>
        </c:ser>
        <c:dLbls>
          <c:showLegendKey val="0"/>
          <c:showVal val="1"/>
          <c:showCatName val="0"/>
          <c:showSerName val="0"/>
          <c:showPercent val="0"/>
          <c:showBubbleSize val="0"/>
        </c:dLbls>
        <c:gapWidth val="40"/>
        <c:axId val="69153536"/>
        <c:axId val="69155072"/>
      </c:barChart>
      <c:catAx>
        <c:axId val="69153536"/>
        <c:scaling>
          <c:orientation val="minMax"/>
        </c:scaling>
        <c:delete val="0"/>
        <c:axPos val="b"/>
        <c:numFmt formatCode="General" sourceLinked="1"/>
        <c:majorTickMark val="none"/>
        <c:minorTickMark val="none"/>
        <c:tickLblPos val="none"/>
        <c:spPr>
          <a:ln w="3175">
            <a:solidFill>
              <a:srgbClr val="000000"/>
            </a:solidFill>
            <a:prstDash val="solid"/>
          </a:ln>
        </c:spPr>
        <c:crossAx val="69155072"/>
        <c:crossesAt val="0"/>
        <c:auto val="1"/>
        <c:lblAlgn val="ctr"/>
        <c:lblOffset val="100"/>
        <c:tickMarkSkip val="1"/>
        <c:noMultiLvlLbl val="0"/>
      </c:catAx>
      <c:valAx>
        <c:axId val="69155072"/>
        <c:scaling>
          <c:orientation val="minMax"/>
          <c:max val="5"/>
          <c:min val="1"/>
        </c:scaling>
        <c:delete val="1"/>
        <c:axPos val="l"/>
        <c:majorGridlines>
          <c:spPr>
            <a:ln w="3175">
              <a:solidFill>
                <a:srgbClr val="FF0000"/>
              </a:solidFill>
              <a:prstDash val="solid"/>
            </a:ln>
          </c:spPr>
        </c:majorGridlines>
        <c:minorGridlines>
          <c:spPr>
            <a:ln>
              <a:solidFill>
                <a:schemeClr val="tx1"/>
              </a:solidFill>
            </a:ln>
          </c:spPr>
        </c:minorGridlines>
        <c:numFmt formatCode="General" sourceLinked="0"/>
        <c:majorTickMark val="in"/>
        <c:minorTickMark val="none"/>
        <c:tickLblPos val="nextTo"/>
        <c:crossAx val="69153536"/>
        <c:crosses val="autoZero"/>
        <c:crossBetween val="between"/>
        <c:majorUnit val="2"/>
        <c:minorUnit val="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714-400A-A10B-51887B18C3F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714-400A-A10B-51887B18C3F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714-400A-A10B-51887B18C3F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結果!$U$60:$U$62</c:f>
              <c:strCache>
                <c:ptCount val="3"/>
                <c:pt idx="0">
                  <c:v>水資源</c:v>
                </c:pt>
                <c:pt idx="1">
                  <c:v>非再生性材料の削減</c:v>
                </c:pt>
                <c:pt idx="2">
                  <c:v>汚染物質回避</c:v>
                </c:pt>
              </c:strCache>
            </c:strRef>
          </c:cat>
          <c:val>
            <c:numRef>
              <c:f>結果!$V$60:$V$62</c:f>
              <c:numCache>
                <c:formatCode>0.0_ </c:formatCode>
                <c:ptCount val="3"/>
                <c:pt idx="0">
                  <c:v>3</c:v>
                </c:pt>
                <c:pt idx="1">
                  <c:v>3</c:v>
                </c:pt>
                <c:pt idx="2">
                  <c:v>3.2</c:v>
                </c:pt>
              </c:numCache>
            </c:numRef>
          </c:val>
          <c:extLst>
            <c:ext xmlns:c16="http://schemas.microsoft.com/office/drawing/2014/chart" uri="{C3380CC4-5D6E-409C-BE32-E72D297353CC}">
              <c16:uniqueId val="{00000003-5714-400A-A10B-51887B18C3FC}"/>
            </c:ext>
          </c:extLst>
        </c:ser>
        <c:dLbls>
          <c:showLegendKey val="0"/>
          <c:showVal val="1"/>
          <c:showCatName val="0"/>
          <c:showSerName val="0"/>
          <c:showPercent val="0"/>
          <c:showBubbleSize val="0"/>
        </c:dLbls>
        <c:gapWidth val="70"/>
        <c:axId val="69370240"/>
        <c:axId val="69371776"/>
      </c:barChart>
      <c:catAx>
        <c:axId val="69370240"/>
        <c:scaling>
          <c:orientation val="minMax"/>
        </c:scaling>
        <c:delete val="0"/>
        <c:axPos val="b"/>
        <c:numFmt formatCode="General" sourceLinked="1"/>
        <c:majorTickMark val="none"/>
        <c:minorTickMark val="none"/>
        <c:tickLblPos val="none"/>
        <c:spPr>
          <a:ln w="3175">
            <a:solidFill>
              <a:srgbClr val="000000"/>
            </a:solidFill>
            <a:prstDash val="solid"/>
          </a:ln>
        </c:spPr>
        <c:crossAx val="69371776"/>
        <c:crossesAt val="0"/>
        <c:auto val="1"/>
        <c:lblAlgn val="ctr"/>
        <c:lblOffset val="100"/>
        <c:tickMarkSkip val="1"/>
        <c:noMultiLvlLbl val="0"/>
      </c:catAx>
      <c:valAx>
        <c:axId val="69371776"/>
        <c:scaling>
          <c:orientation val="minMax"/>
          <c:max val="5"/>
          <c:min val="1"/>
        </c:scaling>
        <c:delete val="1"/>
        <c:axPos val="l"/>
        <c:majorGridlines>
          <c:spPr>
            <a:ln w="3175">
              <a:solidFill>
                <a:srgbClr val="FF0000"/>
              </a:solidFill>
              <a:prstDash val="solid"/>
            </a:ln>
          </c:spPr>
        </c:majorGridlines>
        <c:minorGridlines>
          <c:spPr>
            <a:ln>
              <a:solidFill>
                <a:schemeClr val="tx1"/>
              </a:solidFill>
            </a:ln>
          </c:spPr>
        </c:minorGridlines>
        <c:numFmt formatCode="General" sourceLinked="0"/>
        <c:majorTickMark val="in"/>
        <c:minorTickMark val="none"/>
        <c:tickLblPos val="nextTo"/>
        <c:crossAx val="69370240"/>
        <c:crosses val="autoZero"/>
        <c:crossBetween val="between"/>
        <c:majorUnit val="2"/>
        <c:minorUnit val="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trlProps/ctrlProp1.xml><?xml version="1.0" encoding="utf-8"?>
<formControlPr xmlns="http://schemas.microsoft.com/office/spreadsheetml/2009/9/main" objectType="Radio" checked="Checked" firstButton="1" fmlaLink="$Q$3" lockText="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9" Type="http://schemas.openxmlformats.org/officeDocument/2006/relationships/chart" Target="../charts/chart50.xml"/><Relationship Id="rId3" Type="http://schemas.openxmlformats.org/officeDocument/2006/relationships/chart" Target="../charts/chart14.xml"/><Relationship Id="rId21" Type="http://schemas.openxmlformats.org/officeDocument/2006/relationships/chart" Target="../charts/chart32.xml"/><Relationship Id="rId34" Type="http://schemas.openxmlformats.org/officeDocument/2006/relationships/chart" Target="../charts/chart45.xml"/><Relationship Id="rId42" Type="http://schemas.openxmlformats.org/officeDocument/2006/relationships/chart" Target="../charts/chart53.xml"/><Relationship Id="rId47" Type="http://schemas.openxmlformats.org/officeDocument/2006/relationships/chart" Target="../charts/chart58.xml"/><Relationship Id="rId50" Type="http://schemas.openxmlformats.org/officeDocument/2006/relationships/chart" Target="../charts/chart61.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33" Type="http://schemas.openxmlformats.org/officeDocument/2006/relationships/chart" Target="../charts/chart44.xml"/><Relationship Id="rId38" Type="http://schemas.openxmlformats.org/officeDocument/2006/relationships/chart" Target="../charts/chart49.xml"/><Relationship Id="rId46" Type="http://schemas.openxmlformats.org/officeDocument/2006/relationships/chart" Target="../charts/chart57.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29" Type="http://schemas.openxmlformats.org/officeDocument/2006/relationships/chart" Target="../charts/chart40.xml"/><Relationship Id="rId41" Type="http://schemas.openxmlformats.org/officeDocument/2006/relationships/chart" Target="../charts/chart52.xml"/><Relationship Id="rId54" Type="http://schemas.openxmlformats.org/officeDocument/2006/relationships/image" Target="../media/image1.png"/><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32" Type="http://schemas.openxmlformats.org/officeDocument/2006/relationships/chart" Target="../charts/chart43.xml"/><Relationship Id="rId37" Type="http://schemas.openxmlformats.org/officeDocument/2006/relationships/chart" Target="../charts/chart48.xml"/><Relationship Id="rId40" Type="http://schemas.openxmlformats.org/officeDocument/2006/relationships/chart" Target="../charts/chart51.xml"/><Relationship Id="rId45" Type="http://schemas.openxmlformats.org/officeDocument/2006/relationships/chart" Target="../charts/chart56.xml"/><Relationship Id="rId53" Type="http://schemas.openxmlformats.org/officeDocument/2006/relationships/chart" Target="../charts/chart64.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36" Type="http://schemas.openxmlformats.org/officeDocument/2006/relationships/chart" Target="../charts/chart47.xml"/><Relationship Id="rId49" Type="http://schemas.openxmlformats.org/officeDocument/2006/relationships/chart" Target="../charts/chart60.xml"/><Relationship Id="rId10" Type="http://schemas.openxmlformats.org/officeDocument/2006/relationships/chart" Target="../charts/chart21.xml"/><Relationship Id="rId19" Type="http://schemas.openxmlformats.org/officeDocument/2006/relationships/chart" Target="../charts/chart30.xml"/><Relationship Id="rId31" Type="http://schemas.openxmlformats.org/officeDocument/2006/relationships/chart" Target="../charts/chart42.xml"/><Relationship Id="rId44" Type="http://schemas.openxmlformats.org/officeDocument/2006/relationships/chart" Target="../charts/chart55.xml"/><Relationship Id="rId52" Type="http://schemas.openxmlformats.org/officeDocument/2006/relationships/chart" Target="../charts/chart63.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 Id="rId30" Type="http://schemas.openxmlformats.org/officeDocument/2006/relationships/chart" Target="../charts/chart41.xml"/><Relationship Id="rId35" Type="http://schemas.openxmlformats.org/officeDocument/2006/relationships/chart" Target="../charts/chart46.xml"/><Relationship Id="rId43" Type="http://schemas.openxmlformats.org/officeDocument/2006/relationships/chart" Target="../charts/chart54.xml"/><Relationship Id="rId48" Type="http://schemas.openxmlformats.org/officeDocument/2006/relationships/chart" Target="../charts/chart59.xml"/><Relationship Id="rId8" Type="http://schemas.openxmlformats.org/officeDocument/2006/relationships/chart" Target="../charts/chart19.xml"/><Relationship Id="rId51" Type="http://schemas.openxmlformats.org/officeDocument/2006/relationships/chart" Target="../charts/chart6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1.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7.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png"/><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1019175</xdr:colOff>
      <xdr:row>0</xdr:row>
      <xdr:rowOff>0</xdr:rowOff>
    </xdr:from>
    <xdr:to>
      <xdr:col>5</xdr:col>
      <xdr:colOff>323851</xdr:colOff>
      <xdr:row>3</xdr:row>
      <xdr:rowOff>19050</xdr:rowOff>
    </xdr:to>
    <xdr:sp macro="" textlink="">
      <xdr:nvSpPr>
        <xdr:cNvPr id="10" name="Text Box 20">
          <a:extLst>
            <a:ext uri="{FF2B5EF4-FFF2-40B4-BE49-F238E27FC236}">
              <a16:creationId xmlns:a16="http://schemas.microsoft.com/office/drawing/2014/main" id="{00000000-0008-0000-0000-00000A000000}"/>
            </a:ext>
          </a:extLst>
        </xdr:cNvPr>
        <xdr:cNvSpPr txBox="1">
          <a:spLocks noChangeArrowheads="1"/>
        </xdr:cNvSpPr>
      </xdr:nvSpPr>
      <xdr:spPr bwMode="auto">
        <a:xfrm>
          <a:off x="2800350" y="0"/>
          <a:ext cx="2771776" cy="742950"/>
        </a:xfrm>
        <a:prstGeom prst="rect">
          <a:avLst/>
        </a:prstGeom>
        <a:noFill/>
        <a:ln>
          <a:noFill/>
        </a:ln>
      </xdr:spPr>
      <xdr:txBody>
        <a:bodyPr vertOverflow="clip" wrap="square" lIns="73152" tIns="45720" rIns="0" bIns="0" anchor="t" upright="1"/>
        <a:lstStyle/>
        <a:p>
          <a:pPr algn="l" rtl="0">
            <a:defRPr sz="1000"/>
          </a:pPr>
          <a:r>
            <a:rPr lang="ja-JP" altLang="en-US" sz="4400" b="0" i="0" u="none" strike="noStrike" baseline="0">
              <a:solidFill>
                <a:srgbClr val="008000"/>
              </a:solidFill>
              <a:latin typeface="HGSｺﾞｼｯｸE" pitchFamily="50" charset="-128"/>
              <a:ea typeface="HGSｺﾞｼｯｸE" pitchFamily="50" charset="-128"/>
            </a:rPr>
            <a:t>京都</a:t>
          </a:r>
          <a:r>
            <a:rPr lang="en-US" altLang="ja-JP" sz="4400" b="0" i="0" u="none" strike="noStrike" baseline="0">
              <a:solidFill>
                <a:srgbClr val="008000"/>
              </a:solidFill>
              <a:latin typeface="HGSｺﾞｼｯｸE" pitchFamily="50" charset="-128"/>
              <a:ea typeface="HGSｺﾞｼｯｸE" pitchFamily="50" charset="-128"/>
            </a:rPr>
            <a:t>-</a:t>
          </a:r>
          <a:r>
            <a:rPr lang="ja-JP" altLang="en-US" sz="4400" b="0" i="0" u="none" strike="noStrike" baseline="0">
              <a:solidFill>
                <a:srgbClr val="008000"/>
              </a:solidFill>
              <a:latin typeface="HGSｺﾞｼｯｸE" pitchFamily="50" charset="-128"/>
              <a:ea typeface="HGSｺﾞｼｯｸE" pitchFamily="50" charset="-128"/>
            </a:rPr>
            <a:t>新築</a:t>
          </a:r>
        </a:p>
      </xdr:txBody>
    </xdr:sp>
    <xdr:clientData/>
  </xdr:twoCellAnchor>
  <xdr:twoCellAnchor editAs="oneCell">
    <xdr:from>
      <xdr:col>1</xdr:col>
      <xdr:colOff>95250</xdr:colOff>
      <xdr:row>1</xdr:row>
      <xdr:rowOff>9525</xdr:rowOff>
    </xdr:from>
    <xdr:to>
      <xdr:col>2</xdr:col>
      <xdr:colOff>1038225</xdr:colOff>
      <xdr:row>2</xdr:row>
      <xdr:rowOff>190500</xdr:rowOff>
    </xdr:to>
    <xdr:pic>
      <xdr:nvPicPr>
        <xdr:cNvPr id="11" name="図 1">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80975"/>
          <a:ext cx="25908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0.56647</cdr:x>
      <cdr:y>0.65663</cdr:y>
    </cdr:from>
    <cdr:to>
      <cdr:x>0.72832</cdr:x>
      <cdr:y>0.80723</cdr:y>
    </cdr:to>
    <cdr:sp macro="" textlink="結果!$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14</xdr:col>
      <xdr:colOff>133350</xdr:colOff>
      <xdr:row>22</xdr:row>
      <xdr:rowOff>0</xdr:rowOff>
    </xdr:from>
    <xdr:to>
      <xdr:col>14</xdr:col>
      <xdr:colOff>133350</xdr:colOff>
      <xdr:row>22</xdr:row>
      <xdr:rowOff>0</xdr:rowOff>
    </xdr:to>
    <xdr:sp macro="" textlink="">
      <xdr:nvSpPr>
        <xdr:cNvPr id="2" name="Rectangle 2">
          <a:extLst>
            <a:ext uri="{FF2B5EF4-FFF2-40B4-BE49-F238E27FC236}">
              <a16:creationId xmlns:a16="http://schemas.microsoft.com/office/drawing/2014/main" id="{00000000-0008-0000-0200-000002000000}"/>
            </a:ext>
          </a:extLst>
        </xdr:cNvPr>
        <xdr:cNvSpPr>
          <a:spLocks noChangeArrowheads="1"/>
        </xdr:cNvSpPr>
      </xdr:nvSpPr>
      <xdr:spPr bwMode="auto">
        <a:xfrm>
          <a:off x="9715500" y="4162425"/>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 name="Rectangle 3">
          <a:extLst>
            <a:ext uri="{FF2B5EF4-FFF2-40B4-BE49-F238E27FC236}">
              <a16:creationId xmlns:a16="http://schemas.microsoft.com/office/drawing/2014/main" id="{00000000-0008-0000-0200-000003000000}"/>
            </a:ext>
          </a:extLst>
        </xdr:cNvPr>
        <xdr:cNvSpPr>
          <a:spLocks noChangeArrowheads="1"/>
        </xdr:cNvSpPr>
      </xdr:nvSpPr>
      <xdr:spPr bwMode="auto">
        <a:xfrm>
          <a:off x="8610600" y="4162425"/>
          <a:ext cx="11049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0</xdr:colOff>
      <xdr:row>14</xdr:row>
      <xdr:rowOff>0</xdr:rowOff>
    </xdr:from>
    <xdr:to>
      <xdr:col>15</xdr:col>
      <xdr:colOff>0</xdr:colOff>
      <xdr:row>15</xdr:row>
      <xdr:rowOff>0</xdr:rowOff>
    </xdr:to>
    <xdr:graphicFrame macro="">
      <xdr:nvGraphicFramePr>
        <xdr:cNvPr id="4" name="グラフ 4">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18</xdr:row>
      <xdr:rowOff>0</xdr:rowOff>
    </xdr:from>
    <xdr:to>
      <xdr:col>15</xdr:col>
      <xdr:colOff>0</xdr:colOff>
      <xdr:row>19</xdr:row>
      <xdr:rowOff>0</xdr:rowOff>
    </xdr:to>
    <xdr:graphicFrame macro="">
      <xdr:nvGraphicFramePr>
        <xdr:cNvPr id="5" name="グラフ 5">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21</xdr:row>
      <xdr:rowOff>0</xdr:rowOff>
    </xdr:from>
    <xdr:to>
      <xdr:col>15</xdr:col>
      <xdr:colOff>0</xdr:colOff>
      <xdr:row>21</xdr:row>
      <xdr:rowOff>0</xdr:rowOff>
    </xdr:to>
    <xdr:graphicFrame macro="">
      <xdr:nvGraphicFramePr>
        <xdr:cNvPr id="6" name="グラフ 6">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21</xdr:row>
      <xdr:rowOff>0</xdr:rowOff>
    </xdr:from>
    <xdr:to>
      <xdr:col>15</xdr:col>
      <xdr:colOff>0</xdr:colOff>
      <xdr:row>22</xdr:row>
      <xdr:rowOff>0</xdr:rowOff>
    </xdr:to>
    <xdr:graphicFrame macro="">
      <xdr:nvGraphicFramePr>
        <xdr:cNvPr id="7" name="グラフ 7">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11</xdr:row>
      <xdr:rowOff>0</xdr:rowOff>
    </xdr:from>
    <xdr:to>
      <xdr:col>15</xdr:col>
      <xdr:colOff>0</xdr:colOff>
      <xdr:row>14</xdr:row>
      <xdr:rowOff>9525</xdr:rowOff>
    </xdr:to>
    <xdr:graphicFrame macro="">
      <xdr:nvGraphicFramePr>
        <xdr:cNvPr id="8" name="グラフ 8">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133350</xdr:colOff>
      <xdr:row>22</xdr:row>
      <xdr:rowOff>0</xdr:rowOff>
    </xdr:from>
    <xdr:to>
      <xdr:col>14</xdr:col>
      <xdr:colOff>133350</xdr:colOff>
      <xdr:row>22</xdr:row>
      <xdr:rowOff>0</xdr:rowOff>
    </xdr:to>
    <xdr:sp macro="" textlink="">
      <xdr:nvSpPr>
        <xdr:cNvPr id="9" name="Rectangle 9">
          <a:extLst>
            <a:ext uri="{FF2B5EF4-FFF2-40B4-BE49-F238E27FC236}">
              <a16:creationId xmlns:a16="http://schemas.microsoft.com/office/drawing/2014/main" id="{00000000-0008-0000-0200-000009000000}"/>
            </a:ext>
          </a:extLst>
        </xdr:cNvPr>
        <xdr:cNvSpPr>
          <a:spLocks noChangeArrowheads="1"/>
        </xdr:cNvSpPr>
      </xdr:nvSpPr>
      <xdr:spPr bwMode="auto">
        <a:xfrm>
          <a:off x="9715500" y="4162425"/>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0" name="Rectangle 10">
          <a:extLst>
            <a:ext uri="{FF2B5EF4-FFF2-40B4-BE49-F238E27FC236}">
              <a16:creationId xmlns:a16="http://schemas.microsoft.com/office/drawing/2014/main" id="{00000000-0008-0000-0200-00000A000000}"/>
            </a:ext>
          </a:extLst>
        </xdr:cNvPr>
        <xdr:cNvSpPr>
          <a:spLocks noChangeArrowheads="1"/>
        </xdr:cNvSpPr>
      </xdr:nvSpPr>
      <xdr:spPr bwMode="auto">
        <a:xfrm>
          <a:off x="8610600" y="4162425"/>
          <a:ext cx="11049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0</xdr:colOff>
      <xdr:row>14</xdr:row>
      <xdr:rowOff>0</xdr:rowOff>
    </xdr:from>
    <xdr:to>
      <xdr:col>15</xdr:col>
      <xdr:colOff>0</xdr:colOff>
      <xdr:row>15</xdr:row>
      <xdr:rowOff>0</xdr:rowOff>
    </xdr:to>
    <xdr:graphicFrame macro="">
      <xdr:nvGraphicFramePr>
        <xdr:cNvPr id="11" name="グラフ 11">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18</xdr:row>
      <xdr:rowOff>0</xdr:rowOff>
    </xdr:from>
    <xdr:to>
      <xdr:col>15</xdr:col>
      <xdr:colOff>0</xdr:colOff>
      <xdr:row>19</xdr:row>
      <xdr:rowOff>0</xdr:rowOff>
    </xdr:to>
    <xdr:graphicFrame macro="">
      <xdr:nvGraphicFramePr>
        <xdr:cNvPr id="12" name="グラフ 12">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21</xdr:row>
      <xdr:rowOff>0</xdr:rowOff>
    </xdr:from>
    <xdr:to>
      <xdr:col>15</xdr:col>
      <xdr:colOff>0</xdr:colOff>
      <xdr:row>21</xdr:row>
      <xdr:rowOff>0</xdr:rowOff>
    </xdr:to>
    <xdr:graphicFrame macro="">
      <xdr:nvGraphicFramePr>
        <xdr:cNvPr id="13" name="グラフ 13">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21</xdr:row>
      <xdr:rowOff>0</xdr:rowOff>
    </xdr:from>
    <xdr:to>
      <xdr:col>15</xdr:col>
      <xdr:colOff>0</xdr:colOff>
      <xdr:row>22</xdr:row>
      <xdr:rowOff>0</xdr:rowOff>
    </xdr:to>
    <xdr:graphicFrame macro="">
      <xdr:nvGraphicFramePr>
        <xdr:cNvPr id="14" name="グラフ 14">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0</xdr:colOff>
      <xdr:row>11</xdr:row>
      <xdr:rowOff>0</xdr:rowOff>
    </xdr:from>
    <xdr:to>
      <xdr:col>15</xdr:col>
      <xdr:colOff>0</xdr:colOff>
      <xdr:row>14</xdr:row>
      <xdr:rowOff>9525</xdr:rowOff>
    </xdr:to>
    <xdr:graphicFrame macro="">
      <xdr:nvGraphicFramePr>
        <xdr:cNvPr id="15" name="グラフ 15">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22</xdr:row>
      <xdr:rowOff>0</xdr:rowOff>
    </xdr:from>
    <xdr:to>
      <xdr:col>14</xdr:col>
      <xdr:colOff>133350</xdr:colOff>
      <xdr:row>22</xdr:row>
      <xdr:rowOff>0</xdr:rowOff>
    </xdr:to>
    <xdr:sp macro="" textlink="">
      <xdr:nvSpPr>
        <xdr:cNvPr id="16" name="Rectangle 16">
          <a:extLst>
            <a:ext uri="{FF2B5EF4-FFF2-40B4-BE49-F238E27FC236}">
              <a16:creationId xmlns:a16="http://schemas.microsoft.com/office/drawing/2014/main" id="{00000000-0008-0000-0200-000010000000}"/>
            </a:ext>
          </a:extLst>
        </xdr:cNvPr>
        <xdr:cNvSpPr>
          <a:spLocks noChangeArrowheads="1"/>
        </xdr:cNvSpPr>
      </xdr:nvSpPr>
      <xdr:spPr bwMode="auto">
        <a:xfrm>
          <a:off x="8610600" y="4162425"/>
          <a:ext cx="11049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17" name="Rectangle 17">
          <a:extLst>
            <a:ext uri="{FF2B5EF4-FFF2-40B4-BE49-F238E27FC236}">
              <a16:creationId xmlns:a16="http://schemas.microsoft.com/office/drawing/2014/main" id="{00000000-0008-0000-0200-000011000000}"/>
            </a:ext>
          </a:extLst>
        </xdr:cNvPr>
        <xdr:cNvSpPr>
          <a:spLocks noChangeArrowheads="1"/>
        </xdr:cNvSpPr>
      </xdr:nvSpPr>
      <xdr:spPr bwMode="auto">
        <a:xfrm>
          <a:off x="9715500" y="4162425"/>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8" name="Rectangle 18">
          <a:extLst>
            <a:ext uri="{FF2B5EF4-FFF2-40B4-BE49-F238E27FC236}">
              <a16:creationId xmlns:a16="http://schemas.microsoft.com/office/drawing/2014/main" id="{00000000-0008-0000-0200-000012000000}"/>
            </a:ext>
          </a:extLst>
        </xdr:cNvPr>
        <xdr:cNvSpPr>
          <a:spLocks noChangeArrowheads="1"/>
        </xdr:cNvSpPr>
      </xdr:nvSpPr>
      <xdr:spPr bwMode="auto">
        <a:xfrm>
          <a:off x="8610600" y="4162425"/>
          <a:ext cx="11049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0</xdr:colOff>
      <xdr:row>14</xdr:row>
      <xdr:rowOff>0</xdr:rowOff>
    </xdr:from>
    <xdr:to>
      <xdr:col>15</xdr:col>
      <xdr:colOff>0</xdr:colOff>
      <xdr:row>15</xdr:row>
      <xdr:rowOff>0</xdr:rowOff>
    </xdr:to>
    <xdr:graphicFrame macro="">
      <xdr:nvGraphicFramePr>
        <xdr:cNvPr id="19" name="グラフ 19">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18</xdr:row>
      <xdr:rowOff>0</xdr:rowOff>
    </xdr:from>
    <xdr:to>
      <xdr:col>15</xdr:col>
      <xdr:colOff>0</xdr:colOff>
      <xdr:row>19</xdr:row>
      <xdr:rowOff>0</xdr:rowOff>
    </xdr:to>
    <xdr:graphicFrame macro="">
      <xdr:nvGraphicFramePr>
        <xdr:cNvPr id="20" name="グラフ 20">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21</xdr:row>
      <xdr:rowOff>0</xdr:rowOff>
    </xdr:from>
    <xdr:to>
      <xdr:col>15</xdr:col>
      <xdr:colOff>0</xdr:colOff>
      <xdr:row>21</xdr:row>
      <xdr:rowOff>0</xdr:rowOff>
    </xdr:to>
    <xdr:graphicFrame macro="">
      <xdr:nvGraphicFramePr>
        <xdr:cNvPr id="21" name="グラフ 21">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21</xdr:row>
      <xdr:rowOff>0</xdr:rowOff>
    </xdr:from>
    <xdr:to>
      <xdr:col>15</xdr:col>
      <xdr:colOff>0</xdr:colOff>
      <xdr:row>22</xdr:row>
      <xdr:rowOff>0</xdr:rowOff>
    </xdr:to>
    <xdr:graphicFrame macro="">
      <xdr:nvGraphicFramePr>
        <xdr:cNvPr id="22" name="グラフ 22">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11</xdr:row>
      <xdr:rowOff>0</xdr:rowOff>
    </xdr:from>
    <xdr:to>
      <xdr:col>15</xdr:col>
      <xdr:colOff>0</xdr:colOff>
      <xdr:row>14</xdr:row>
      <xdr:rowOff>9525</xdr:rowOff>
    </xdr:to>
    <xdr:graphicFrame macro="">
      <xdr:nvGraphicFramePr>
        <xdr:cNvPr id="23" name="グラフ 23">
          <a:extLst>
            <a:ext uri="{FF2B5EF4-FFF2-40B4-BE49-F238E27FC236}">
              <a16:creationId xmlns:a16="http://schemas.microsoft.com/office/drawing/2014/main" id="{00000000-0008-0000-0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0</xdr:colOff>
      <xdr:row>22</xdr:row>
      <xdr:rowOff>0</xdr:rowOff>
    </xdr:from>
    <xdr:to>
      <xdr:col>14</xdr:col>
      <xdr:colOff>133350</xdr:colOff>
      <xdr:row>22</xdr:row>
      <xdr:rowOff>0</xdr:rowOff>
    </xdr:to>
    <xdr:sp macro="" textlink="">
      <xdr:nvSpPr>
        <xdr:cNvPr id="24" name="Rectangle 24">
          <a:extLst>
            <a:ext uri="{FF2B5EF4-FFF2-40B4-BE49-F238E27FC236}">
              <a16:creationId xmlns:a16="http://schemas.microsoft.com/office/drawing/2014/main" id="{00000000-0008-0000-0200-000018000000}"/>
            </a:ext>
          </a:extLst>
        </xdr:cNvPr>
        <xdr:cNvSpPr>
          <a:spLocks noChangeArrowheads="1"/>
        </xdr:cNvSpPr>
      </xdr:nvSpPr>
      <xdr:spPr bwMode="auto">
        <a:xfrm>
          <a:off x="8610600" y="4162425"/>
          <a:ext cx="11049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5" name="Rectangle 25">
          <a:extLst>
            <a:ext uri="{FF2B5EF4-FFF2-40B4-BE49-F238E27FC236}">
              <a16:creationId xmlns:a16="http://schemas.microsoft.com/office/drawing/2014/main" id="{00000000-0008-0000-0200-000019000000}"/>
            </a:ext>
          </a:extLst>
        </xdr:cNvPr>
        <xdr:cNvSpPr>
          <a:spLocks noChangeArrowheads="1"/>
        </xdr:cNvSpPr>
      </xdr:nvSpPr>
      <xdr:spPr bwMode="auto">
        <a:xfrm>
          <a:off x="9715500" y="470535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6" name="Rectangle 26">
          <a:extLst>
            <a:ext uri="{FF2B5EF4-FFF2-40B4-BE49-F238E27FC236}">
              <a16:creationId xmlns:a16="http://schemas.microsoft.com/office/drawing/2014/main" id="{00000000-0008-0000-0200-00001A000000}"/>
            </a:ext>
          </a:extLst>
        </xdr:cNvPr>
        <xdr:cNvSpPr>
          <a:spLocks noChangeArrowheads="1"/>
        </xdr:cNvSpPr>
      </xdr:nvSpPr>
      <xdr:spPr bwMode="auto">
        <a:xfrm>
          <a:off x="8610600" y="4705350"/>
          <a:ext cx="11049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0</xdr:colOff>
      <xdr:row>17</xdr:row>
      <xdr:rowOff>0</xdr:rowOff>
    </xdr:from>
    <xdr:to>
      <xdr:col>15</xdr:col>
      <xdr:colOff>0</xdr:colOff>
      <xdr:row>18</xdr:row>
      <xdr:rowOff>0</xdr:rowOff>
    </xdr:to>
    <xdr:graphicFrame macro="">
      <xdr:nvGraphicFramePr>
        <xdr:cNvPr id="27" name="グラフ 27">
          <a:extLst>
            <a:ext uri="{FF2B5EF4-FFF2-40B4-BE49-F238E27FC236}">
              <a16:creationId xmlns:a16="http://schemas.microsoft.com/office/drawing/2014/main" id="{00000000-0008-0000-0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21</xdr:row>
      <xdr:rowOff>0</xdr:rowOff>
    </xdr:from>
    <xdr:to>
      <xdr:col>15</xdr:col>
      <xdr:colOff>0</xdr:colOff>
      <xdr:row>22</xdr:row>
      <xdr:rowOff>0</xdr:rowOff>
    </xdr:to>
    <xdr:graphicFrame macro="">
      <xdr:nvGraphicFramePr>
        <xdr:cNvPr id="28" name="グラフ 28">
          <a:extLst>
            <a:ext uri="{FF2B5EF4-FFF2-40B4-BE49-F238E27FC236}">
              <a16:creationId xmlns:a16="http://schemas.microsoft.com/office/drawing/2014/main" id="{00000000-0008-0000-0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0</xdr:colOff>
      <xdr:row>24</xdr:row>
      <xdr:rowOff>0</xdr:rowOff>
    </xdr:from>
    <xdr:to>
      <xdr:col>15</xdr:col>
      <xdr:colOff>0</xdr:colOff>
      <xdr:row>24</xdr:row>
      <xdr:rowOff>0</xdr:rowOff>
    </xdr:to>
    <xdr:graphicFrame macro="">
      <xdr:nvGraphicFramePr>
        <xdr:cNvPr id="29" name="グラフ 29">
          <a:extLst>
            <a:ext uri="{FF2B5EF4-FFF2-40B4-BE49-F238E27FC236}">
              <a16:creationId xmlns:a16="http://schemas.microsoft.com/office/drawing/2014/main" id="{00000000-0008-0000-0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xdr:col>
      <xdr:colOff>0</xdr:colOff>
      <xdr:row>24</xdr:row>
      <xdr:rowOff>0</xdr:rowOff>
    </xdr:from>
    <xdr:to>
      <xdr:col>15</xdr:col>
      <xdr:colOff>0</xdr:colOff>
      <xdr:row>24</xdr:row>
      <xdr:rowOff>0</xdr:rowOff>
    </xdr:to>
    <xdr:graphicFrame macro="">
      <xdr:nvGraphicFramePr>
        <xdr:cNvPr id="30" name="グラフ 30">
          <a:extLst>
            <a:ext uri="{FF2B5EF4-FFF2-40B4-BE49-F238E27FC236}">
              <a16:creationId xmlns:a16="http://schemas.microsoft.com/office/drawing/2014/main" id="{00000000-0008-0000-0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0</xdr:colOff>
      <xdr:row>14</xdr:row>
      <xdr:rowOff>0</xdr:rowOff>
    </xdr:from>
    <xdr:to>
      <xdr:col>15</xdr:col>
      <xdr:colOff>0</xdr:colOff>
      <xdr:row>17</xdr:row>
      <xdr:rowOff>9525</xdr:rowOff>
    </xdr:to>
    <xdr:graphicFrame macro="">
      <xdr:nvGraphicFramePr>
        <xdr:cNvPr id="31" name="グラフ 31">
          <a:extLst>
            <a:ext uri="{FF2B5EF4-FFF2-40B4-BE49-F238E27FC236}">
              <a16:creationId xmlns:a16="http://schemas.microsoft.com/office/drawing/2014/main" id="{00000000-0008-0000-0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32" name="Rectangle 32">
          <a:extLst>
            <a:ext uri="{FF2B5EF4-FFF2-40B4-BE49-F238E27FC236}">
              <a16:creationId xmlns:a16="http://schemas.microsoft.com/office/drawing/2014/main" id="{00000000-0008-0000-0200-000020000000}"/>
            </a:ext>
          </a:extLst>
        </xdr:cNvPr>
        <xdr:cNvSpPr>
          <a:spLocks noChangeArrowheads="1"/>
        </xdr:cNvSpPr>
      </xdr:nvSpPr>
      <xdr:spPr bwMode="auto">
        <a:xfrm>
          <a:off x="9715500" y="470535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3" name="Rectangle 33">
          <a:extLst>
            <a:ext uri="{FF2B5EF4-FFF2-40B4-BE49-F238E27FC236}">
              <a16:creationId xmlns:a16="http://schemas.microsoft.com/office/drawing/2014/main" id="{00000000-0008-0000-0200-000021000000}"/>
            </a:ext>
          </a:extLst>
        </xdr:cNvPr>
        <xdr:cNvSpPr>
          <a:spLocks noChangeArrowheads="1"/>
        </xdr:cNvSpPr>
      </xdr:nvSpPr>
      <xdr:spPr bwMode="auto">
        <a:xfrm>
          <a:off x="8610600" y="4705350"/>
          <a:ext cx="11049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0</xdr:colOff>
      <xdr:row>17</xdr:row>
      <xdr:rowOff>0</xdr:rowOff>
    </xdr:from>
    <xdr:to>
      <xdr:col>15</xdr:col>
      <xdr:colOff>0</xdr:colOff>
      <xdr:row>18</xdr:row>
      <xdr:rowOff>0</xdr:rowOff>
    </xdr:to>
    <xdr:graphicFrame macro="">
      <xdr:nvGraphicFramePr>
        <xdr:cNvPr id="34" name="グラフ 34">
          <a:extLst>
            <a:ext uri="{FF2B5EF4-FFF2-40B4-BE49-F238E27FC236}">
              <a16:creationId xmlns:a16="http://schemas.microsoft.com/office/drawing/2014/main" id="{00000000-0008-0000-0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0</xdr:colOff>
      <xdr:row>21</xdr:row>
      <xdr:rowOff>0</xdr:rowOff>
    </xdr:from>
    <xdr:to>
      <xdr:col>15</xdr:col>
      <xdr:colOff>0</xdr:colOff>
      <xdr:row>22</xdr:row>
      <xdr:rowOff>0</xdr:rowOff>
    </xdr:to>
    <xdr:graphicFrame macro="">
      <xdr:nvGraphicFramePr>
        <xdr:cNvPr id="35" name="グラフ 35">
          <a:extLst>
            <a:ext uri="{FF2B5EF4-FFF2-40B4-BE49-F238E27FC236}">
              <a16:creationId xmlns:a16="http://schemas.microsoft.com/office/drawing/2014/main" id="{00000000-0008-0000-0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15</xdr:col>
      <xdr:colOff>0</xdr:colOff>
      <xdr:row>24</xdr:row>
      <xdr:rowOff>0</xdr:rowOff>
    </xdr:from>
    <xdr:to>
      <xdr:col>15</xdr:col>
      <xdr:colOff>0</xdr:colOff>
      <xdr:row>24</xdr:row>
      <xdr:rowOff>0</xdr:rowOff>
    </xdr:to>
    <xdr:graphicFrame macro="">
      <xdr:nvGraphicFramePr>
        <xdr:cNvPr id="36" name="グラフ 36">
          <a:extLst>
            <a:ext uri="{FF2B5EF4-FFF2-40B4-BE49-F238E27FC236}">
              <a16:creationId xmlns:a16="http://schemas.microsoft.com/office/drawing/2014/main" id="{00000000-0008-0000-0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0</xdr:colOff>
      <xdr:row>24</xdr:row>
      <xdr:rowOff>0</xdr:rowOff>
    </xdr:from>
    <xdr:to>
      <xdr:col>15</xdr:col>
      <xdr:colOff>0</xdr:colOff>
      <xdr:row>24</xdr:row>
      <xdr:rowOff>0</xdr:rowOff>
    </xdr:to>
    <xdr:graphicFrame macro="">
      <xdr:nvGraphicFramePr>
        <xdr:cNvPr id="37" name="グラフ 37">
          <a:extLst>
            <a:ext uri="{FF2B5EF4-FFF2-40B4-BE49-F238E27FC236}">
              <a16:creationId xmlns:a16="http://schemas.microsoft.com/office/drawing/2014/main" id="{00000000-0008-0000-0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15</xdr:col>
      <xdr:colOff>0</xdr:colOff>
      <xdr:row>14</xdr:row>
      <xdr:rowOff>0</xdr:rowOff>
    </xdr:from>
    <xdr:to>
      <xdr:col>15</xdr:col>
      <xdr:colOff>0</xdr:colOff>
      <xdr:row>17</xdr:row>
      <xdr:rowOff>9525</xdr:rowOff>
    </xdr:to>
    <xdr:graphicFrame macro="">
      <xdr:nvGraphicFramePr>
        <xdr:cNvPr id="38" name="グラフ 38">
          <a:extLst>
            <a:ext uri="{FF2B5EF4-FFF2-40B4-BE49-F238E27FC236}">
              <a16:creationId xmlns:a16="http://schemas.microsoft.com/office/drawing/2014/main" id="{00000000-0008-0000-0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39" name="Rectangle 40">
          <a:extLst>
            <a:ext uri="{FF2B5EF4-FFF2-40B4-BE49-F238E27FC236}">
              <a16:creationId xmlns:a16="http://schemas.microsoft.com/office/drawing/2014/main" id="{00000000-0008-0000-0200-000027000000}"/>
            </a:ext>
          </a:extLst>
        </xdr:cNvPr>
        <xdr:cNvSpPr>
          <a:spLocks noChangeArrowheads="1"/>
        </xdr:cNvSpPr>
      </xdr:nvSpPr>
      <xdr:spPr bwMode="auto">
        <a:xfrm>
          <a:off x="9715500" y="470535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0" name="Rectangle 41">
          <a:extLst>
            <a:ext uri="{FF2B5EF4-FFF2-40B4-BE49-F238E27FC236}">
              <a16:creationId xmlns:a16="http://schemas.microsoft.com/office/drawing/2014/main" id="{00000000-0008-0000-0200-000028000000}"/>
            </a:ext>
          </a:extLst>
        </xdr:cNvPr>
        <xdr:cNvSpPr>
          <a:spLocks noChangeArrowheads="1"/>
        </xdr:cNvSpPr>
      </xdr:nvSpPr>
      <xdr:spPr bwMode="auto">
        <a:xfrm>
          <a:off x="8610600" y="4705350"/>
          <a:ext cx="11049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0</xdr:colOff>
      <xdr:row>17</xdr:row>
      <xdr:rowOff>0</xdr:rowOff>
    </xdr:from>
    <xdr:to>
      <xdr:col>15</xdr:col>
      <xdr:colOff>0</xdr:colOff>
      <xdr:row>18</xdr:row>
      <xdr:rowOff>0</xdr:rowOff>
    </xdr:to>
    <xdr:graphicFrame macro="">
      <xdr:nvGraphicFramePr>
        <xdr:cNvPr id="41" name="グラフ 42">
          <a:extLst>
            <a:ext uri="{FF2B5EF4-FFF2-40B4-BE49-F238E27FC236}">
              <a16:creationId xmlns:a16="http://schemas.microsoft.com/office/drawing/2014/main" id="{00000000-0008-0000-02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15</xdr:col>
      <xdr:colOff>0</xdr:colOff>
      <xdr:row>21</xdr:row>
      <xdr:rowOff>0</xdr:rowOff>
    </xdr:from>
    <xdr:to>
      <xdr:col>15</xdr:col>
      <xdr:colOff>0</xdr:colOff>
      <xdr:row>22</xdr:row>
      <xdr:rowOff>0</xdr:rowOff>
    </xdr:to>
    <xdr:graphicFrame macro="">
      <xdr:nvGraphicFramePr>
        <xdr:cNvPr id="42" name="グラフ 43">
          <a:extLst>
            <a:ext uri="{FF2B5EF4-FFF2-40B4-BE49-F238E27FC236}">
              <a16:creationId xmlns:a16="http://schemas.microsoft.com/office/drawing/2014/main" id="{00000000-0008-0000-02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15</xdr:col>
      <xdr:colOff>0</xdr:colOff>
      <xdr:row>24</xdr:row>
      <xdr:rowOff>0</xdr:rowOff>
    </xdr:from>
    <xdr:to>
      <xdr:col>15</xdr:col>
      <xdr:colOff>0</xdr:colOff>
      <xdr:row>24</xdr:row>
      <xdr:rowOff>0</xdr:rowOff>
    </xdr:to>
    <xdr:graphicFrame macro="">
      <xdr:nvGraphicFramePr>
        <xdr:cNvPr id="43" name="グラフ 44">
          <a:extLst>
            <a:ext uri="{FF2B5EF4-FFF2-40B4-BE49-F238E27FC236}">
              <a16:creationId xmlns:a16="http://schemas.microsoft.com/office/drawing/2014/main" id="{00000000-0008-0000-02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0</xdr:colOff>
      <xdr:row>24</xdr:row>
      <xdr:rowOff>0</xdr:rowOff>
    </xdr:from>
    <xdr:to>
      <xdr:col>15</xdr:col>
      <xdr:colOff>0</xdr:colOff>
      <xdr:row>24</xdr:row>
      <xdr:rowOff>0</xdr:rowOff>
    </xdr:to>
    <xdr:graphicFrame macro="">
      <xdr:nvGraphicFramePr>
        <xdr:cNvPr id="44" name="グラフ 45">
          <a:extLst>
            <a:ext uri="{FF2B5EF4-FFF2-40B4-BE49-F238E27FC236}">
              <a16:creationId xmlns:a16="http://schemas.microsoft.com/office/drawing/2014/main" id="{00000000-0008-0000-0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15</xdr:col>
      <xdr:colOff>0</xdr:colOff>
      <xdr:row>14</xdr:row>
      <xdr:rowOff>0</xdr:rowOff>
    </xdr:from>
    <xdr:to>
      <xdr:col>15</xdr:col>
      <xdr:colOff>0</xdr:colOff>
      <xdr:row>17</xdr:row>
      <xdr:rowOff>9525</xdr:rowOff>
    </xdr:to>
    <xdr:graphicFrame macro="">
      <xdr:nvGraphicFramePr>
        <xdr:cNvPr id="45" name="グラフ 46">
          <a:extLst>
            <a:ext uri="{FF2B5EF4-FFF2-40B4-BE49-F238E27FC236}">
              <a16:creationId xmlns:a16="http://schemas.microsoft.com/office/drawing/2014/main" id="{00000000-0008-0000-0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46" name="Rectangle 47">
          <a:extLst>
            <a:ext uri="{FF2B5EF4-FFF2-40B4-BE49-F238E27FC236}">
              <a16:creationId xmlns:a16="http://schemas.microsoft.com/office/drawing/2014/main" id="{00000000-0008-0000-0200-00002E000000}"/>
            </a:ext>
          </a:extLst>
        </xdr:cNvPr>
        <xdr:cNvSpPr>
          <a:spLocks noChangeArrowheads="1"/>
        </xdr:cNvSpPr>
      </xdr:nvSpPr>
      <xdr:spPr bwMode="auto">
        <a:xfrm>
          <a:off x="9715500" y="470535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7" name="Rectangle 48">
          <a:extLst>
            <a:ext uri="{FF2B5EF4-FFF2-40B4-BE49-F238E27FC236}">
              <a16:creationId xmlns:a16="http://schemas.microsoft.com/office/drawing/2014/main" id="{00000000-0008-0000-0200-00002F000000}"/>
            </a:ext>
          </a:extLst>
        </xdr:cNvPr>
        <xdr:cNvSpPr>
          <a:spLocks noChangeArrowheads="1"/>
        </xdr:cNvSpPr>
      </xdr:nvSpPr>
      <xdr:spPr bwMode="auto">
        <a:xfrm>
          <a:off x="8610600" y="4705350"/>
          <a:ext cx="11049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0</xdr:colOff>
      <xdr:row>17</xdr:row>
      <xdr:rowOff>0</xdr:rowOff>
    </xdr:from>
    <xdr:to>
      <xdr:col>15</xdr:col>
      <xdr:colOff>0</xdr:colOff>
      <xdr:row>18</xdr:row>
      <xdr:rowOff>0</xdr:rowOff>
    </xdr:to>
    <xdr:graphicFrame macro="">
      <xdr:nvGraphicFramePr>
        <xdr:cNvPr id="48" name="グラフ 49">
          <a:extLst>
            <a:ext uri="{FF2B5EF4-FFF2-40B4-BE49-F238E27FC236}">
              <a16:creationId xmlns:a16="http://schemas.microsoft.com/office/drawing/2014/main" id="{00000000-0008-0000-0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15</xdr:col>
      <xdr:colOff>0</xdr:colOff>
      <xdr:row>21</xdr:row>
      <xdr:rowOff>0</xdr:rowOff>
    </xdr:from>
    <xdr:to>
      <xdr:col>15</xdr:col>
      <xdr:colOff>0</xdr:colOff>
      <xdr:row>22</xdr:row>
      <xdr:rowOff>0</xdr:rowOff>
    </xdr:to>
    <xdr:graphicFrame macro="">
      <xdr:nvGraphicFramePr>
        <xdr:cNvPr id="49" name="グラフ 50">
          <a:extLst>
            <a:ext uri="{FF2B5EF4-FFF2-40B4-BE49-F238E27FC236}">
              <a16:creationId xmlns:a16="http://schemas.microsoft.com/office/drawing/2014/main" id="{00000000-0008-0000-02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15</xdr:col>
      <xdr:colOff>0</xdr:colOff>
      <xdr:row>24</xdr:row>
      <xdr:rowOff>0</xdr:rowOff>
    </xdr:from>
    <xdr:to>
      <xdr:col>15</xdr:col>
      <xdr:colOff>0</xdr:colOff>
      <xdr:row>24</xdr:row>
      <xdr:rowOff>0</xdr:rowOff>
    </xdr:to>
    <xdr:graphicFrame macro="">
      <xdr:nvGraphicFramePr>
        <xdr:cNvPr id="50" name="グラフ 51">
          <a:extLst>
            <a:ext uri="{FF2B5EF4-FFF2-40B4-BE49-F238E27FC236}">
              <a16:creationId xmlns:a16="http://schemas.microsoft.com/office/drawing/2014/main" i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15</xdr:col>
      <xdr:colOff>0</xdr:colOff>
      <xdr:row>24</xdr:row>
      <xdr:rowOff>0</xdr:rowOff>
    </xdr:from>
    <xdr:to>
      <xdr:col>15</xdr:col>
      <xdr:colOff>0</xdr:colOff>
      <xdr:row>24</xdr:row>
      <xdr:rowOff>0</xdr:rowOff>
    </xdr:to>
    <xdr:graphicFrame macro="">
      <xdr:nvGraphicFramePr>
        <xdr:cNvPr id="51" name="グラフ 52">
          <a:extLst>
            <a:ext uri="{FF2B5EF4-FFF2-40B4-BE49-F238E27FC236}">
              <a16:creationId xmlns:a16="http://schemas.microsoft.com/office/drawing/2014/main" id="{00000000-0008-0000-02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15</xdr:col>
      <xdr:colOff>0</xdr:colOff>
      <xdr:row>14</xdr:row>
      <xdr:rowOff>0</xdr:rowOff>
    </xdr:from>
    <xdr:to>
      <xdr:col>15</xdr:col>
      <xdr:colOff>0</xdr:colOff>
      <xdr:row>17</xdr:row>
      <xdr:rowOff>9525</xdr:rowOff>
    </xdr:to>
    <xdr:graphicFrame macro="">
      <xdr:nvGraphicFramePr>
        <xdr:cNvPr id="52" name="グラフ 53">
          <a:extLst>
            <a:ext uri="{FF2B5EF4-FFF2-40B4-BE49-F238E27FC236}">
              <a16:creationId xmlns:a16="http://schemas.microsoft.com/office/drawing/2014/main"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0</xdr:colOff>
      <xdr:row>24</xdr:row>
      <xdr:rowOff>0</xdr:rowOff>
    </xdr:from>
    <xdr:to>
      <xdr:col>14</xdr:col>
      <xdr:colOff>133350</xdr:colOff>
      <xdr:row>24</xdr:row>
      <xdr:rowOff>0</xdr:rowOff>
    </xdr:to>
    <xdr:sp macro="" textlink="">
      <xdr:nvSpPr>
        <xdr:cNvPr id="53" name="Rectangle 54">
          <a:extLst>
            <a:ext uri="{FF2B5EF4-FFF2-40B4-BE49-F238E27FC236}">
              <a16:creationId xmlns:a16="http://schemas.microsoft.com/office/drawing/2014/main" id="{00000000-0008-0000-0200-000035000000}"/>
            </a:ext>
          </a:extLst>
        </xdr:cNvPr>
        <xdr:cNvSpPr>
          <a:spLocks noChangeArrowheads="1"/>
        </xdr:cNvSpPr>
      </xdr:nvSpPr>
      <xdr:spPr bwMode="auto">
        <a:xfrm>
          <a:off x="8610600" y="4705350"/>
          <a:ext cx="11049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54" name="Rectangle 56">
          <a:extLst>
            <a:ext uri="{FF2B5EF4-FFF2-40B4-BE49-F238E27FC236}">
              <a16:creationId xmlns:a16="http://schemas.microsoft.com/office/drawing/2014/main" id="{00000000-0008-0000-0200-000036000000}"/>
            </a:ext>
          </a:extLst>
        </xdr:cNvPr>
        <xdr:cNvSpPr>
          <a:spLocks noChangeArrowheads="1"/>
        </xdr:cNvSpPr>
      </xdr:nvSpPr>
      <xdr:spPr bwMode="auto">
        <a:xfrm>
          <a:off x="9715500" y="470535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55" name="Rectangle 57">
          <a:extLst>
            <a:ext uri="{FF2B5EF4-FFF2-40B4-BE49-F238E27FC236}">
              <a16:creationId xmlns:a16="http://schemas.microsoft.com/office/drawing/2014/main" id="{00000000-0008-0000-0200-000037000000}"/>
            </a:ext>
          </a:extLst>
        </xdr:cNvPr>
        <xdr:cNvSpPr>
          <a:spLocks noChangeArrowheads="1"/>
        </xdr:cNvSpPr>
      </xdr:nvSpPr>
      <xdr:spPr bwMode="auto">
        <a:xfrm>
          <a:off x="8610600" y="4705350"/>
          <a:ext cx="11049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0</xdr:colOff>
      <xdr:row>17</xdr:row>
      <xdr:rowOff>0</xdr:rowOff>
    </xdr:from>
    <xdr:to>
      <xdr:col>15</xdr:col>
      <xdr:colOff>0</xdr:colOff>
      <xdr:row>18</xdr:row>
      <xdr:rowOff>0</xdr:rowOff>
    </xdr:to>
    <xdr:graphicFrame macro="">
      <xdr:nvGraphicFramePr>
        <xdr:cNvPr id="56" name="グラフ 58">
          <a:extLst>
            <a:ext uri="{FF2B5EF4-FFF2-40B4-BE49-F238E27FC236}">
              <a16:creationId xmlns:a16="http://schemas.microsoft.com/office/drawing/2014/main"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15</xdr:col>
      <xdr:colOff>0</xdr:colOff>
      <xdr:row>21</xdr:row>
      <xdr:rowOff>0</xdr:rowOff>
    </xdr:from>
    <xdr:to>
      <xdr:col>15</xdr:col>
      <xdr:colOff>0</xdr:colOff>
      <xdr:row>22</xdr:row>
      <xdr:rowOff>0</xdr:rowOff>
    </xdr:to>
    <xdr:graphicFrame macro="">
      <xdr:nvGraphicFramePr>
        <xdr:cNvPr id="57" name="グラフ 59">
          <a:extLst>
            <a:ext uri="{FF2B5EF4-FFF2-40B4-BE49-F238E27FC236}">
              <a16:creationId xmlns:a16="http://schemas.microsoft.com/office/drawing/2014/main" id="{00000000-0008-0000-0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15</xdr:col>
      <xdr:colOff>0</xdr:colOff>
      <xdr:row>24</xdr:row>
      <xdr:rowOff>0</xdr:rowOff>
    </xdr:from>
    <xdr:to>
      <xdr:col>15</xdr:col>
      <xdr:colOff>0</xdr:colOff>
      <xdr:row>24</xdr:row>
      <xdr:rowOff>0</xdr:rowOff>
    </xdr:to>
    <xdr:graphicFrame macro="">
      <xdr:nvGraphicFramePr>
        <xdr:cNvPr id="58" name="グラフ 60">
          <a:extLst>
            <a:ext uri="{FF2B5EF4-FFF2-40B4-BE49-F238E27FC236}">
              <a16:creationId xmlns:a16="http://schemas.microsoft.com/office/drawing/2014/main" id="{00000000-0008-0000-0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15</xdr:col>
      <xdr:colOff>0</xdr:colOff>
      <xdr:row>24</xdr:row>
      <xdr:rowOff>0</xdr:rowOff>
    </xdr:from>
    <xdr:to>
      <xdr:col>15</xdr:col>
      <xdr:colOff>0</xdr:colOff>
      <xdr:row>24</xdr:row>
      <xdr:rowOff>0</xdr:rowOff>
    </xdr:to>
    <xdr:graphicFrame macro="">
      <xdr:nvGraphicFramePr>
        <xdr:cNvPr id="59" name="グラフ 61">
          <a:extLst>
            <a:ext uri="{FF2B5EF4-FFF2-40B4-BE49-F238E27FC236}">
              <a16:creationId xmlns:a16="http://schemas.microsoft.com/office/drawing/2014/main" id="{00000000-0008-0000-02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15</xdr:col>
      <xdr:colOff>0</xdr:colOff>
      <xdr:row>14</xdr:row>
      <xdr:rowOff>0</xdr:rowOff>
    </xdr:from>
    <xdr:to>
      <xdr:col>15</xdr:col>
      <xdr:colOff>0</xdr:colOff>
      <xdr:row>17</xdr:row>
      <xdr:rowOff>9525</xdr:rowOff>
    </xdr:to>
    <xdr:graphicFrame macro="">
      <xdr:nvGraphicFramePr>
        <xdr:cNvPr id="60" name="グラフ 62">
          <a:extLst>
            <a:ext uri="{FF2B5EF4-FFF2-40B4-BE49-F238E27FC236}">
              <a16:creationId xmlns:a16="http://schemas.microsoft.com/office/drawing/2014/main" id="{00000000-0008-0000-02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61" name="Rectangle 64">
          <a:extLst>
            <a:ext uri="{FF2B5EF4-FFF2-40B4-BE49-F238E27FC236}">
              <a16:creationId xmlns:a16="http://schemas.microsoft.com/office/drawing/2014/main" id="{00000000-0008-0000-0200-00003D000000}"/>
            </a:ext>
          </a:extLst>
        </xdr:cNvPr>
        <xdr:cNvSpPr>
          <a:spLocks noChangeArrowheads="1"/>
        </xdr:cNvSpPr>
      </xdr:nvSpPr>
      <xdr:spPr bwMode="auto">
        <a:xfrm>
          <a:off x="9715500" y="470535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62" name="Rectangle 65">
          <a:extLst>
            <a:ext uri="{FF2B5EF4-FFF2-40B4-BE49-F238E27FC236}">
              <a16:creationId xmlns:a16="http://schemas.microsoft.com/office/drawing/2014/main" id="{00000000-0008-0000-0200-00003E000000}"/>
            </a:ext>
          </a:extLst>
        </xdr:cNvPr>
        <xdr:cNvSpPr>
          <a:spLocks noChangeArrowheads="1"/>
        </xdr:cNvSpPr>
      </xdr:nvSpPr>
      <xdr:spPr bwMode="auto">
        <a:xfrm>
          <a:off x="8610600" y="4705350"/>
          <a:ext cx="11049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0</xdr:colOff>
      <xdr:row>17</xdr:row>
      <xdr:rowOff>0</xdr:rowOff>
    </xdr:from>
    <xdr:to>
      <xdr:col>15</xdr:col>
      <xdr:colOff>0</xdr:colOff>
      <xdr:row>18</xdr:row>
      <xdr:rowOff>0</xdr:rowOff>
    </xdr:to>
    <xdr:graphicFrame macro="">
      <xdr:nvGraphicFramePr>
        <xdr:cNvPr id="63" name="グラフ 66">
          <a:extLst>
            <a:ext uri="{FF2B5EF4-FFF2-40B4-BE49-F238E27FC236}">
              <a16:creationId xmlns:a16="http://schemas.microsoft.com/office/drawing/2014/main" id="{00000000-0008-0000-02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15</xdr:col>
      <xdr:colOff>0</xdr:colOff>
      <xdr:row>21</xdr:row>
      <xdr:rowOff>0</xdr:rowOff>
    </xdr:from>
    <xdr:to>
      <xdr:col>15</xdr:col>
      <xdr:colOff>0</xdr:colOff>
      <xdr:row>22</xdr:row>
      <xdr:rowOff>0</xdr:rowOff>
    </xdr:to>
    <xdr:graphicFrame macro="">
      <xdr:nvGraphicFramePr>
        <xdr:cNvPr id="64" name="グラフ 67">
          <a:extLst>
            <a:ext uri="{FF2B5EF4-FFF2-40B4-BE49-F238E27FC236}">
              <a16:creationId xmlns:a16="http://schemas.microsoft.com/office/drawing/2014/main" id="{00000000-0008-0000-02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15</xdr:col>
      <xdr:colOff>0</xdr:colOff>
      <xdr:row>24</xdr:row>
      <xdr:rowOff>0</xdr:rowOff>
    </xdr:from>
    <xdr:to>
      <xdr:col>15</xdr:col>
      <xdr:colOff>0</xdr:colOff>
      <xdr:row>24</xdr:row>
      <xdr:rowOff>0</xdr:rowOff>
    </xdr:to>
    <xdr:graphicFrame macro="">
      <xdr:nvGraphicFramePr>
        <xdr:cNvPr id="65" name="グラフ 68">
          <a:extLst>
            <a:ext uri="{FF2B5EF4-FFF2-40B4-BE49-F238E27FC236}">
              <a16:creationId xmlns:a16="http://schemas.microsoft.com/office/drawing/2014/main" id="{00000000-0008-0000-02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15</xdr:col>
      <xdr:colOff>0</xdr:colOff>
      <xdr:row>24</xdr:row>
      <xdr:rowOff>0</xdr:rowOff>
    </xdr:from>
    <xdr:to>
      <xdr:col>15</xdr:col>
      <xdr:colOff>0</xdr:colOff>
      <xdr:row>24</xdr:row>
      <xdr:rowOff>0</xdr:rowOff>
    </xdr:to>
    <xdr:graphicFrame macro="">
      <xdr:nvGraphicFramePr>
        <xdr:cNvPr id="66" name="グラフ 69">
          <a:extLst>
            <a:ext uri="{FF2B5EF4-FFF2-40B4-BE49-F238E27FC236}">
              <a16:creationId xmlns:a16="http://schemas.microsoft.com/office/drawing/2014/main" id="{00000000-0008-0000-02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15</xdr:col>
      <xdr:colOff>0</xdr:colOff>
      <xdr:row>14</xdr:row>
      <xdr:rowOff>0</xdr:rowOff>
    </xdr:from>
    <xdr:to>
      <xdr:col>15</xdr:col>
      <xdr:colOff>0</xdr:colOff>
      <xdr:row>17</xdr:row>
      <xdr:rowOff>9525</xdr:rowOff>
    </xdr:to>
    <xdr:graphicFrame macro="">
      <xdr:nvGraphicFramePr>
        <xdr:cNvPr id="67" name="グラフ 70">
          <a:extLst>
            <a:ext uri="{FF2B5EF4-FFF2-40B4-BE49-F238E27FC236}">
              <a16:creationId xmlns:a16="http://schemas.microsoft.com/office/drawing/2014/main" id="{00000000-0008-0000-02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12</xdr:col>
      <xdr:colOff>0</xdr:colOff>
      <xdr:row>24</xdr:row>
      <xdr:rowOff>0</xdr:rowOff>
    </xdr:from>
    <xdr:to>
      <xdr:col>14</xdr:col>
      <xdr:colOff>133350</xdr:colOff>
      <xdr:row>24</xdr:row>
      <xdr:rowOff>0</xdr:rowOff>
    </xdr:to>
    <xdr:sp macro="" textlink="">
      <xdr:nvSpPr>
        <xdr:cNvPr id="68" name="Rectangle 71">
          <a:extLst>
            <a:ext uri="{FF2B5EF4-FFF2-40B4-BE49-F238E27FC236}">
              <a16:creationId xmlns:a16="http://schemas.microsoft.com/office/drawing/2014/main" id="{00000000-0008-0000-0200-000044000000}"/>
            </a:ext>
          </a:extLst>
        </xdr:cNvPr>
        <xdr:cNvSpPr>
          <a:spLocks noChangeArrowheads="1"/>
        </xdr:cNvSpPr>
      </xdr:nvSpPr>
      <xdr:spPr bwMode="auto">
        <a:xfrm>
          <a:off x="8610600" y="4705350"/>
          <a:ext cx="11049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69" name="Rectangle 72">
          <a:extLst>
            <a:ext uri="{FF2B5EF4-FFF2-40B4-BE49-F238E27FC236}">
              <a16:creationId xmlns:a16="http://schemas.microsoft.com/office/drawing/2014/main" id="{00000000-0008-0000-0200-000045000000}"/>
            </a:ext>
          </a:extLst>
        </xdr:cNvPr>
        <xdr:cNvSpPr>
          <a:spLocks noChangeArrowheads="1"/>
        </xdr:cNvSpPr>
      </xdr:nvSpPr>
      <xdr:spPr bwMode="auto">
        <a:xfrm>
          <a:off x="9715500" y="470535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70" name="Rectangle 73">
          <a:extLst>
            <a:ext uri="{FF2B5EF4-FFF2-40B4-BE49-F238E27FC236}">
              <a16:creationId xmlns:a16="http://schemas.microsoft.com/office/drawing/2014/main" id="{00000000-0008-0000-0200-000046000000}"/>
            </a:ext>
          </a:extLst>
        </xdr:cNvPr>
        <xdr:cNvSpPr>
          <a:spLocks noChangeArrowheads="1"/>
        </xdr:cNvSpPr>
      </xdr:nvSpPr>
      <xdr:spPr bwMode="auto">
        <a:xfrm>
          <a:off x="8610600" y="4705350"/>
          <a:ext cx="11049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0</xdr:colOff>
      <xdr:row>17</xdr:row>
      <xdr:rowOff>0</xdr:rowOff>
    </xdr:from>
    <xdr:to>
      <xdr:col>15</xdr:col>
      <xdr:colOff>0</xdr:colOff>
      <xdr:row>18</xdr:row>
      <xdr:rowOff>0</xdr:rowOff>
    </xdr:to>
    <xdr:graphicFrame macro="">
      <xdr:nvGraphicFramePr>
        <xdr:cNvPr id="71" name="グラフ 76">
          <a:extLst>
            <a:ext uri="{FF2B5EF4-FFF2-40B4-BE49-F238E27FC236}">
              <a16:creationId xmlns:a16="http://schemas.microsoft.com/office/drawing/2014/main" id="{00000000-0008-0000-02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15</xdr:col>
      <xdr:colOff>0</xdr:colOff>
      <xdr:row>21</xdr:row>
      <xdr:rowOff>0</xdr:rowOff>
    </xdr:from>
    <xdr:to>
      <xdr:col>15</xdr:col>
      <xdr:colOff>0</xdr:colOff>
      <xdr:row>22</xdr:row>
      <xdr:rowOff>0</xdr:rowOff>
    </xdr:to>
    <xdr:graphicFrame macro="">
      <xdr:nvGraphicFramePr>
        <xdr:cNvPr id="72" name="グラフ 77">
          <a:extLst>
            <a:ext uri="{FF2B5EF4-FFF2-40B4-BE49-F238E27FC236}">
              <a16:creationId xmlns:a16="http://schemas.microsoft.com/office/drawing/2014/main" id="{00000000-0008-0000-02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15</xdr:col>
      <xdr:colOff>0</xdr:colOff>
      <xdr:row>24</xdr:row>
      <xdr:rowOff>0</xdr:rowOff>
    </xdr:from>
    <xdr:to>
      <xdr:col>15</xdr:col>
      <xdr:colOff>0</xdr:colOff>
      <xdr:row>24</xdr:row>
      <xdr:rowOff>0</xdr:rowOff>
    </xdr:to>
    <xdr:graphicFrame macro="">
      <xdr:nvGraphicFramePr>
        <xdr:cNvPr id="73" name="グラフ 78">
          <a:extLst>
            <a:ext uri="{FF2B5EF4-FFF2-40B4-BE49-F238E27FC236}">
              <a16:creationId xmlns:a16="http://schemas.microsoft.com/office/drawing/2014/main" id="{00000000-0008-0000-02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15</xdr:col>
      <xdr:colOff>0</xdr:colOff>
      <xdr:row>24</xdr:row>
      <xdr:rowOff>0</xdr:rowOff>
    </xdr:from>
    <xdr:to>
      <xdr:col>15</xdr:col>
      <xdr:colOff>0</xdr:colOff>
      <xdr:row>24</xdr:row>
      <xdr:rowOff>0</xdr:rowOff>
    </xdr:to>
    <xdr:graphicFrame macro="">
      <xdr:nvGraphicFramePr>
        <xdr:cNvPr id="74" name="グラフ 79">
          <a:extLst>
            <a:ext uri="{FF2B5EF4-FFF2-40B4-BE49-F238E27FC236}">
              <a16:creationId xmlns:a16="http://schemas.microsoft.com/office/drawing/2014/main" id="{00000000-0008-0000-02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15</xdr:col>
      <xdr:colOff>0</xdr:colOff>
      <xdr:row>14</xdr:row>
      <xdr:rowOff>0</xdr:rowOff>
    </xdr:from>
    <xdr:to>
      <xdr:col>15</xdr:col>
      <xdr:colOff>0</xdr:colOff>
      <xdr:row>17</xdr:row>
      <xdr:rowOff>9525</xdr:rowOff>
    </xdr:to>
    <xdr:graphicFrame macro="">
      <xdr:nvGraphicFramePr>
        <xdr:cNvPr id="75" name="グラフ 80">
          <a:extLst>
            <a:ext uri="{FF2B5EF4-FFF2-40B4-BE49-F238E27FC236}">
              <a16:creationId xmlns:a16="http://schemas.microsoft.com/office/drawing/2014/main" id="{00000000-0008-0000-02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12</xdr:col>
      <xdr:colOff>0</xdr:colOff>
      <xdr:row>24</xdr:row>
      <xdr:rowOff>0</xdr:rowOff>
    </xdr:from>
    <xdr:to>
      <xdr:col>14</xdr:col>
      <xdr:colOff>133350</xdr:colOff>
      <xdr:row>24</xdr:row>
      <xdr:rowOff>0</xdr:rowOff>
    </xdr:to>
    <xdr:sp macro="" textlink="">
      <xdr:nvSpPr>
        <xdr:cNvPr id="76" name="Rectangle 81">
          <a:extLst>
            <a:ext uri="{FF2B5EF4-FFF2-40B4-BE49-F238E27FC236}">
              <a16:creationId xmlns:a16="http://schemas.microsoft.com/office/drawing/2014/main" id="{00000000-0008-0000-0200-00004C000000}"/>
            </a:ext>
          </a:extLst>
        </xdr:cNvPr>
        <xdr:cNvSpPr>
          <a:spLocks noChangeArrowheads="1"/>
        </xdr:cNvSpPr>
      </xdr:nvSpPr>
      <xdr:spPr bwMode="auto">
        <a:xfrm>
          <a:off x="8610600" y="4705350"/>
          <a:ext cx="11049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504825</xdr:colOff>
      <xdr:row>14</xdr:row>
      <xdr:rowOff>180975</xdr:rowOff>
    </xdr:from>
    <xdr:to>
      <xdr:col>13</xdr:col>
      <xdr:colOff>133350</xdr:colOff>
      <xdr:row>18</xdr:row>
      <xdr:rowOff>19050</xdr:rowOff>
    </xdr:to>
    <xdr:graphicFrame macro="">
      <xdr:nvGraphicFramePr>
        <xdr:cNvPr id="77" name="グラフ 86">
          <a:extLst>
            <a:ext uri="{FF2B5EF4-FFF2-40B4-BE49-F238E27FC236}">
              <a16:creationId xmlns:a16="http://schemas.microsoft.com/office/drawing/2014/main" id="{00000000-0008-0000-02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8</xdr:col>
      <xdr:colOff>504825</xdr:colOff>
      <xdr:row>17</xdr:row>
      <xdr:rowOff>152400</xdr:rowOff>
    </xdr:from>
    <xdr:to>
      <xdr:col>13</xdr:col>
      <xdr:colOff>133350</xdr:colOff>
      <xdr:row>20</xdr:row>
      <xdr:rowOff>152400</xdr:rowOff>
    </xdr:to>
    <xdr:graphicFrame macro="">
      <xdr:nvGraphicFramePr>
        <xdr:cNvPr id="78" name="グラフ 106">
          <a:extLst>
            <a:ext uri="{FF2B5EF4-FFF2-40B4-BE49-F238E27FC236}">
              <a16:creationId xmlns:a16="http://schemas.microsoft.com/office/drawing/2014/main" id="{00000000-0008-0000-02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8</xdr:col>
      <xdr:colOff>504825</xdr:colOff>
      <xdr:row>20</xdr:row>
      <xdr:rowOff>152400</xdr:rowOff>
    </xdr:from>
    <xdr:to>
      <xdr:col>13</xdr:col>
      <xdr:colOff>133350</xdr:colOff>
      <xdr:row>23</xdr:row>
      <xdr:rowOff>152400</xdr:rowOff>
    </xdr:to>
    <xdr:graphicFrame macro="">
      <xdr:nvGraphicFramePr>
        <xdr:cNvPr id="79" name="グラフ 107">
          <a:extLst>
            <a:ext uri="{FF2B5EF4-FFF2-40B4-BE49-F238E27FC236}">
              <a16:creationId xmlns:a16="http://schemas.microsoft.com/office/drawing/2014/main" id="{00000000-0008-0000-02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360269</xdr:colOff>
      <xdr:row>101</xdr:row>
      <xdr:rowOff>1120</xdr:rowOff>
    </xdr:from>
    <xdr:to>
      <xdr:col>7</xdr:col>
      <xdr:colOff>12887</xdr:colOff>
      <xdr:row>102</xdr:row>
      <xdr:rowOff>44823</xdr:rowOff>
    </xdr:to>
    <xdr:sp macro="" textlink="">
      <xdr:nvSpPr>
        <xdr:cNvPr id="81" name="Rectangle 171">
          <a:extLst>
            <a:ext uri="{FF2B5EF4-FFF2-40B4-BE49-F238E27FC236}">
              <a16:creationId xmlns:a16="http://schemas.microsoft.com/office/drawing/2014/main" id="{00000000-0008-0000-0200-000051000000}"/>
            </a:ext>
          </a:extLst>
        </xdr:cNvPr>
        <xdr:cNvSpPr>
          <a:spLocks noChangeArrowheads="1"/>
        </xdr:cNvSpPr>
      </xdr:nvSpPr>
      <xdr:spPr bwMode="auto">
        <a:xfrm>
          <a:off x="3811681" y="17123708"/>
          <a:ext cx="571500" cy="200586"/>
        </a:xfrm>
        <a:prstGeom prst="rect">
          <a:avLst/>
        </a:prstGeom>
        <a:solidFill>
          <a:srgbClr val="CCFFFF"/>
        </a:solidFill>
        <a:ln w="19050" algn="ctr">
          <a:solidFill>
            <a:srgbClr val="000000"/>
          </a:solidFill>
          <a:miter lim="800000"/>
          <a:headEnd/>
          <a:tailEnd/>
        </a:ln>
      </xdr:spPr>
    </xdr:sp>
    <xdr:clientData/>
  </xdr:twoCellAnchor>
  <xdr:twoCellAnchor>
    <xdr:from>
      <xdr:col>2</xdr:col>
      <xdr:colOff>874058</xdr:colOff>
      <xdr:row>101</xdr:row>
      <xdr:rowOff>1</xdr:rowOff>
    </xdr:from>
    <xdr:to>
      <xdr:col>3</xdr:col>
      <xdr:colOff>179854</xdr:colOff>
      <xdr:row>102</xdr:row>
      <xdr:rowOff>56030</xdr:rowOff>
    </xdr:to>
    <xdr:sp macro="" textlink="">
      <xdr:nvSpPr>
        <xdr:cNvPr id="82" name="Rectangle 170">
          <a:extLst>
            <a:ext uri="{FF2B5EF4-FFF2-40B4-BE49-F238E27FC236}">
              <a16:creationId xmlns:a16="http://schemas.microsoft.com/office/drawing/2014/main" id="{00000000-0008-0000-0200-000052000000}"/>
            </a:ext>
          </a:extLst>
        </xdr:cNvPr>
        <xdr:cNvSpPr>
          <a:spLocks noChangeArrowheads="1"/>
        </xdr:cNvSpPr>
      </xdr:nvSpPr>
      <xdr:spPr bwMode="auto">
        <a:xfrm>
          <a:off x="1293158" y="16887826"/>
          <a:ext cx="677396" cy="208429"/>
        </a:xfrm>
        <a:prstGeom prst="rect">
          <a:avLst/>
        </a:prstGeom>
        <a:solidFill>
          <a:srgbClr val="CCFFFF"/>
        </a:solidFill>
        <a:ln w="19050" algn="ctr">
          <a:solidFill>
            <a:srgbClr val="00B0F0"/>
          </a:solidFill>
          <a:miter lim="800000"/>
          <a:headEnd/>
          <a:tailEnd/>
        </a:ln>
      </xdr:spPr>
    </xdr:sp>
    <xdr:clientData/>
  </xdr:twoCellAnchor>
  <xdr:twoCellAnchor>
    <xdr:from>
      <xdr:col>10</xdr:col>
      <xdr:colOff>270621</xdr:colOff>
      <xdr:row>1</xdr:row>
      <xdr:rowOff>22890</xdr:rowOff>
    </xdr:from>
    <xdr:to>
      <xdr:col>12</xdr:col>
      <xdr:colOff>168087</xdr:colOff>
      <xdr:row>5</xdr:row>
      <xdr:rowOff>145676</xdr:rowOff>
    </xdr:to>
    <xdr:sp macro="" textlink="">
      <xdr:nvSpPr>
        <xdr:cNvPr id="85" name="テキスト ボックス 84">
          <a:extLst>
            <a:ext uri="{FF2B5EF4-FFF2-40B4-BE49-F238E27FC236}">
              <a16:creationId xmlns:a16="http://schemas.microsoft.com/office/drawing/2014/main" id="{00000000-0008-0000-0200-000055000000}"/>
            </a:ext>
          </a:extLst>
        </xdr:cNvPr>
        <xdr:cNvSpPr txBox="1"/>
      </xdr:nvSpPr>
      <xdr:spPr bwMode="auto">
        <a:xfrm>
          <a:off x="6976221" y="175290"/>
          <a:ext cx="1802466" cy="732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tIns="0" bIns="0" rtlCol="0" anchor="t">
          <a:noAutofit/>
        </a:bodyPr>
        <a:lstStyle/>
        <a:p>
          <a:pPr algn="ctr">
            <a:lnSpc>
              <a:spcPts val="2500"/>
            </a:lnSpc>
          </a:pPr>
          <a:r>
            <a:rPr kumimoji="1" lang="ja-JP" altLang="en-US" sz="2000"/>
            <a:t>独自システム</a:t>
          </a:r>
          <a:endParaRPr kumimoji="1" lang="en-US" altLang="ja-JP" sz="2000"/>
        </a:p>
        <a:p>
          <a:pPr algn="ctr">
            <a:lnSpc>
              <a:spcPts val="2500"/>
            </a:lnSpc>
          </a:pPr>
          <a:r>
            <a:rPr kumimoji="1" lang="ja-JP" altLang="en-US" sz="2000"/>
            <a:t>評価結果</a:t>
          </a:r>
        </a:p>
      </xdr:txBody>
    </xdr:sp>
    <xdr:clientData/>
  </xdr:twoCellAnchor>
  <xdr:twoCellAnchor>
    <xdr:from>
      <xdr:col>10</xdr:col>
      <xdr:colOff>238125</xdr:colOff>
      <xdr:row>1</xdr:row>
      <xdr:rowOff>28575</xdr:rowOff>
    </xdr:from>
    <xdr:to>
      <xdr:col>10</xdr:col>
      <xdr:colOff>314325</xdr:colOff>
      <xdr:row>5</xdr:row>
      <xdr:rowOff>56630</xdr:rowOff>
    </xdr:to>
    <xdr:sp macro="" textlink="">
      <xdr:nvSpPr>
        <xdr:cNvPr id="86" name="正方形/長方形 85">
          <a:extLst>
            <a:ext uri="{FF2B5EF4-FFF2-40B4-BE49-F238E27FC236}">
              <a16:creationId xmlns:a16="http://schemas.microsoft.com/office/drawing/2014/main" id="{00000000-0008-0000-0200-000056000000}"/>
            </a:ext>
          </a:extLst>
        </xdr:cNvPr>
        <xdr:cNvSpPr/>
      </xdr:nvSpPr>
      <xdr:spPr bwMode="auto">
        <a:xfrm>
          <a:off x="6943725" y="180975"/>
          <a:ext cx="76200" cy="63765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133350</xdr:colOff>
      <xdr:row>1</xdr:row>
      <xdr:rowOff>28575</xdr:rowOff>
    </xdr:from>
    <xdr:to>
      <xdr:col>12</xdr:col>
      <xdr:colOff>209550</xdr:colOff>
      <xdr:row>5</xdr:row>
      <xdr:rowOff>56630</xdr:rowOff>
    </xdr:to>
    <xdr:sp macro="" textlink="">
      <xdr:nvSpPr>
        <xdr:cNvPr id="87" name="正方形/長方形 86">
          <a:extLst>
            <a:ext uri="{FF2B5EF4-FFF2-40B4-BE49-F238E27FC236}">
              <a16:creationId xmlns:a16="http://schemas.microsoft.com/office/drawing/2014/main" id="{00000000-0008-0000-0200-000057000000}"/>
            </a:ext>
          </a:extLst>
        </xdr:cNvPr>
        <xdr:cNvSpPr/>
      </xdr:nvSpPr>
      <xdr:spPr bwMode="auto">
        <a:xfrm>
          <a:off x="8743950" y="180975"/>
          <a:ext cx="76200" cy="63765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142875</xdr:colOff>
      <xdr:row>0</xdr:row>
      <xdr:rowOff>66675</xdr:rowOff>
    </xdr:from>
    <xdr:to>
      <xdr:col>9</xdr:col>
      <xdr:colOff>304800</xdr:colOff>
      <xdr:row>5</xdr:row>
      <xdr:rowOff>85725</xdr:rowOff>
    </xdr:to>
    <xdr:grpSp>
      <xdr:nvGrpSpPr>
        <xdr:cNvPr id="88" name="グループ化 90">
          <a:extLst>
            <a:ext uri="{FF2B5EF4-FFF2-40B4-BE49-F238E27FC236}">
              <a16:creationId xmlns:a16="http://schemas.microsoft.com/office/drawing/2014/main" id="{00000000-0008-0000-0200-000058000000}"/>
            </a:ext>
          </a:extLst>
        </xdr:cNvPr>
        <xdr:cNvGrpSpPr>
          <a:grpSpLocks/>
        </xdr:cNvGrpSpPr>
      </xdr:nvGrpSpPr>
      <xdr:grpSpPr bwMode="auto">
        <a:xfrm>
          <a:off x="361950" y="66675"/>
          <a:ext cx="5705475" cy="781050"/>
          <a:chOff x="366993" y="65554"/>
          <a:chExt cx="5708077" cy="819766"/>
        </a:xfrm>
      </xdr:grpSpPr>
      <xdr:sp macro="" textlink="">
        <xdr:nvSpPr>
          <xdr:cNvPr id="89" name="Text Box 20">
            <a:extLst>
              <a:ext uri="{FF2B5EF4-FFF2-40B4-BE49-F238E27FC236}">
                <a16:creationId xmlns:a16="http://schemas.microsoft.com/office/drawing/2014/main" id="{00000000-0008-0000-0200-000059000000}"/>
              </a:ext>
            </a:extLst>
          </xdr:cNvPr>
          <xdr:cNvSpPr txBox="1">
            <a:spLocks noChangeArrowheads="1"/>
          </xdr:cNvSpPr>
        </xdr:nvSpPr>
        <xdr:spPr bwMode="auto">
          <a:xfrm>
            <a:off x="3330619" y="65554"/>
            <a:ext cx="2744451" cy="819766"/>
          </a:xfrm>
          <a:prstGeom prst="rect">
            <a:avLst/>
          </a:prstGeom>
          <a:noFill/>
          <a:ln>
            <a:noFill/>
          </a:ln>
        </xdr:spPr>
        <xdr:txBody>
          <a:bodyPr vertOverflow="clip" wrap="square" lIns="73152" tIns="45720" rIns="0" bIns="0" anchor="b" upright="1">
            <a:noAutofit/>
          </a:bodyPr>
          <a:lstStyle/>
          <a:p>
            <a:pPr algn="l" rtl="0">
              <a:defRPr sz="1000"/>
            </a:pPr>
            <a:r>
              <a:rPr lang="ja-JP" altLang="en-US" sz="4400" b="0" i="0" u="none" strike="noStrike" baseline="0">
                <a:solidFill>
                  <a:srgbClr val="008000"/>
                </a:solidFill>
                <a:latin typeface="HGSｺﾞｼｯｸE" pitchFamily="50" charset="-128"/>
                <a:ea typeface="HGSｺﾞｼｯｸE" pitchFamily="50" charset="-128"/>
              </a:rPr>
              <a:t>京都 新築</a:t>
            </a:r>
          </a:p>
        </xdr:txBody>
      </xdr:sp>
      <xdr:pic>
        <xdr:nvPicPr>
          <xdr:cNvPr id="90" name="図 97">
            <a:extLst>
              <a:ext uri="{FF2B5EF4-FFF2-40B4-BE49-F238E27FC236}">
                <a16:creationId xmlns:a16="http://schemas.microsoft.com/office/drawing/2014/main" id="{00000000-0008-0000-0200-00005A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366993" y="252132"/>
            <a:ext cx="2949948" cy="518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104775</xdr:colOff>
          <xdr:row>9</xdr:row>
          <xdr:rowOff>28575</xdr:rowOff>
        </xdr:from>
        <xdr:to>
          <xdr:col>1</xdr:col>
          <xdr:colOff>266700</xdr:colOff>
          <xdr:row>9</xdr:row>
          <xdr:rowOff>133350</xdr:rowOff>
        </xdr:to>
        <xdr:sp macro="" textlink="">
          <xdr:nvSpPr>
            <xdr:cNvPr id="3073" name="Option Button 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14</xdr:row>
          <xdr:rowOff>161925</xdr:rowOff>
        </xdr:from>
        <xdr:to>
          <xdr:col>1</xdr:col>
          <xdr:colOff>266700</xdr:colOff>
          <xdr:row>15</xdr:row>
          <xdr:rowOff>142875</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5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18</xdr:row>
          <xdr:rowOff>133350</xdr:rowOff>
        </xdr:from>
        <xdr:to>
          <xdr:col>1</xdr:col>
          <xdr:colOff>266700</xdr:colOff>
          <xdr:row>20</xdr:row>
          <xdr:rowOff>28575</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5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23</xdr:row>
          <xdr:rowOff>19050</xdr:rowOff>
        </xdr:from>
        <xdr:to>
          <xdr:col>1</xdr:col>
          <xdr:colOff>266700</xdr:colOff>
          <xdr:row>23</xdr:row>
          <xdr:rowOff>142875</xdr:rowOff>
        </xdr:to>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5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27</xdr:row>
          <xdr:rowOff>9525</xdr:rowOff>
        </xdr:from>
        <xdr:to>
          <xdr:col>1</xdr:col>
          <xdr:colOff>266700</xdr:colOff>
          <xdr:row>27</xdr:row>
          <xdr:rowOff>161925</xdr:rowOff>
        </xdr:to>
        <xdr:sp macro="" textlink="">
          <xdr:nvSpPr>
            <xdr:cNvPr id="3077" name="Option Button 5" hidden="1">
              <a:extLst>
                <a:ext uri="{63B3BB69-23CF-44E3-9099-C40C66FF867C}">
                  <a14:compatExt spid="_x0000_s3077"/>
                </a:ext>
                <a:ext uri="{FF2B5EF4-FFF2-40B4-BE49-F238E27FC236}">
                  <a16:creationId xmlns:a16="http://schemas.microsoft.com/office/drawing/2014/main" id="{00000000-0008-0000-05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14653</xdr:colOff>
      <xdr:row>4</xdr:row>
      <xdr:rowOff>234463</xdr:rowOff>
    </xdr:from>
    <xdr:to>
      <xdr:col>5</xdr:col>
      <xdr:colOff>688730</xdr:colOff>
      <xdr:row>7</xdr:row>
      <xdr:rowOff>0</xdr:rowOff>
    </xdr:to>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700453" y="958363"/>
          <a:ext cx="6760552" cy="508487"/>
        </a:xfrm>
        <a:prstGeom prst="rect">
          <a:avLst/>
        </a:prstGeom>
        <a:solidFill>
          <a:schemeClr val="accent2">
            <a:lumMod val="40000"/>
            <a:lumOff val="60000"/>
            <a:alpha val="30000"/>
          </a:schemeClr>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ctr"/>
        <a:lstStyle/>
        <a:p>
          <a:pPr algn="ctr"/>
          <a:r>
            <a:rPr kumimoji="1" lang="ja-JP" altLang="en-US" sz="1600" u="none">
              <a:solidFill>
                <a:srgbClr val="FF0000"/>
              </a:solidFill>
            </a:rPr>
            <a:t>                                      </a:t>
          </a:r>
          <a:endParaRPr kumimoji="1" lang="ja-JP" altLang="en-US" sz="1600" u="dbl">
            <a:solidFill>
              <a:srgbClr val="FF0000"/>
            </a:solidFill>
          </a:endParaRPr>
        </a:p>
      </xdr:txBody>
    </xdr:sp>
    <xdr:clientData/>
  </xdr:twoCellAnchor>
  <xdr:twoCellAnchor>
    <xdr:from>
      <xdr:col>4</xdr:col>
      <xdr:colOff>1047750</xdr:colOff>
      <xdr:row>5</xdr:row>
      <xdr:rowOff>29307</xdr:rowOff>
    </xdr:from>
    <xdr:to>
      <xdr:col>4</xdr:col>
      <xdr:colOff>2571750</xdr:colOff>
      <xdr:row>6</xdr:row>
      <xdr:rowOff>212480</xdr:rowOff>
    </xdr:to>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4905375" y="1000857"/>
          <a:ext cx="1524000" cy="43082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a:solidFill>
                <a:schemeClr val="tx1"/>
              </a:solidFill>
            </a:rPr>
            <a:t>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a:extLst>
            <a:ext uri="{FF2B5EF4-FFF2-40B4-BE49-F238E27FC236}">
              <a16:creationId xmlns:a16="http://schemas.microsoft.com/office/drawing/2014/main" id="{00000000-0008-0000-1300-000002100000}"/>
            </a:ext>
          </a:extLst>
        </xdr:cNvPr>
        <xdr:cNvSpPr txBox="1">
          <a:spLocks noChangeArrowheads="1"/>
        </xdr:cNvSpPr>
      </xdr:nvSpPr>
      <xdr:spPr bwMode="auto">
        <a:xfrm>
          <a:off x="4400550" y="104775"/>
          <a:ext cx="70104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a:t>
          </a:r>
          <a:r>
            <a:rPr lang="en-US" altLang="ja-JP" sz="1100" b="0" i="0" u="none" strike="noStrike" baseline="0">
              <a:solidFill>
                <a:srgbClr val="000000"/>
              </a:solidFill>
              <a:latin typeface="ＭＳ Ｐゴシック"/>
              <a:ea typeface="+mn-ea"/>
            </a:rPr>
            <a:t>CASBEE</a:t>
          </a:r>
          <a:r>
            <a:rPr lang="ja-JP" altLang="en-US" sz="1100" b="0" i="0" u="none" strike="noStrike" baseline="0">
              <a:solidFill>
                <a:srgbClr val="000000"/>
              </a:solidFill>
              <a:latin typeface="ＭＳ Ｐゴシック"/>
              <a:ea typeface="+mn-ea"/>
            </a:rPr>
            <a:t>京都</a:t>
          </a:r>
          <a:r>
            <a:rPr lang="en-US" altLang="ja-JP"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mn-ea"/>
            </a:rPr>
            <a:t>新築　評価ソフト（</a:t>
          </a:r>
          <a:r>
            <a:rPr lang="en-US" altLang="ja-JP" sz="1100" b="0" i="0" u="none" strike="noStrike" baseline="0">
              <a:solidFill>
                <a:srgbClr val="000000"/>
              </a:solidFill>
              <a:latin typeface="ＭＳ Ｐゴシック"/>
              <a:ea typeface="+mn-ea"/>
            </a:rPr>
            <a:t>2018</a:t>
          </a:r>
          <a:r>
            <a:rPr lang="ja-JP" altLang="en-US" sz="1100" b="0" i="0" u="none" strike="noStrike" baseline="0">
              <a:solidFill>
                <a:srgbClr val="000000"/>
              </a:solidFill>
              <a:latin typeface="ＭＳ Ｐゴシック"/>
              <a:ea typeface="+mn-ea"/>
            </a:rPr>
            <a:t>年版）</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mn-ea"/>
            </a:rPr>
            <a:t>CASBEEkyoto-NCb_2018</a:t>
          </a:r>
          <a:r>
            <a:rPr lang="ja-JP" altLang="en-US" sz="1100" b="0" i="0" u="none" strike="noStrike" baseline="0">
              <a:solidFill>
                <a:srgbClr val="000000"/>
              </a:solidFill>
              <a:latin typeface="ＭＳ Ｐゴシック"/>
              <a:ea typeface="+mn-ea"/>
            </a:rPr>
            <a:t>（</a:t>
          </a:r>
          <a:r>
            <a:rPr lang="en-US" altLang="ja-JP" sz="1100" b="0" i="0" u="none" strike="noStrike" baseline="0">
              <a:solidFill>
                <a:srgbClr val="000000"/>
              </a:solidFill>
              <a:latin typeface="ＭＳ Ｐゴシック"/>
              <a:ea typeface="+mn-ea"/>
            </a:rPr>
            <a:t>v.1.0</a:t>
          </a:r>
          <a:r>
            <a:rPr lang="ja-JP" altLang="en-US" sz="1100" b="0" i="0" u="none" strike="noStrike" baseline="0">
              <a:solidFill>
                <a:srgbClr val="000000"/>
              </a:solidFill>
              <a:latin typeface="ＭＳ Ｐゴシック"/>
              <a:ea typeface="+mn-ea"/>
            </a:rPr>
            <a:t>）</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mn-ea"/>
            </a:rPr>
            <a:t>2018</a:t>
          </a:r>
          <a:r>
            <a:rPr lang="ja-JP" altLang="en-US" sz="1100" b="0" i="0" u="none" strike="noStrike" baseline="0">
              <a:solidFill>
                <a:srgbClr val="000000"/>
              </a:solidFill>
              <a:latin typeface="ＭＳ Ｐゴシック"/>
              <a:ea typeface="+mn-ea"/>
            </a:rPr>
            <a:t>年 </a:t>
          </a:r>
          <a:r>
            <a:rPr lang="en-US" altLang="ja-JP" sz="1100" b="0" i="0" u="none" strike="noStrike" baseline="0">
              <a:solidFill>
                <a:srgbClr val="000000"/>
              </a:solidFill>
              <a:latin typeface="ＭＳ Ｐゴシック"/>
              <a:ea typeface="+mn-ea"/>
            </a:rPr>
            <a:t>4</a:t>
          </a:r>
          <a:r>
            <a:rPr lang="ja-JP" altLang="en-US" sz="1100" b="0" i="0" u="none" strike="noStrike" baseline="0">
              <a:solidFill>
                <a:srgbClr val="000000"/>
              </a:solidFill>
              <a:latin typeface="ＭＳ Ｐゴシック"/>
              <a:ea typeface="+mn-ea"/>
            </a:rPr>
            <a:t>月発行</a:t>
          </a:r>
          <a:endParaRPr lang="en-US" altLang="ja-JP" sz="1100" b="0" i="0" u="none" strike="noStrike" baseline="0">
            <a:solidFill>
              <a:srgbClr val="000000"/>
            </a:solidFill>
            <a:latin typeface="ＭＳ Ｐゴシック"/>
            <a:ea typeface="+mn-ea"/>
          </a:endParaRP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mn-ea"/>
            </a:rPr>
            <a:t>       発行　　京都市都市計画局建築指導部建築審査課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mn-ea"/>
            </a:rPr>
            <a:t>　　　　　京都市都市計画局建築指導部建築審査課</a:t>
          </a:r>
        </a:p>
        <a:p>
          <a:pPr algn="l" rtl="0">
            <a:lnSpc>
              <a:spcPts val="1300"/>
            </a:lnSpc>
            <a:defRPr sz="1000"/>
          </a:pP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604-8571</a:t>
          </a:r>
          <a:r>
            <a:rPr lang="ja-JP" altLang="en-US" sz="1100" b="0" i="0" u="none" strike="noStrike" baseline="0">
              <a:solidFill>
                <a:srgbClr val="000000"/>
              </a:solidFill>
              <a:latin typeface="ＭＳ Ｐゴシック"/>
              <a:ea typeface="+mn-ea"/>
            </a:rPr>
            <a:t>　京都府京都市中京区寺町通御池上ル上本能寺前町４８８</a:t>
          </a:r>
        </a:p>
        <a:p>
          <a:pPr algn="l" rtl="0">
            <a:lnSpc>
              <a:spcPts val="1300"/>
            </a:lnSpc>
            <a:defRPr sz="1000"/>
          </a:pPr>
          <a:r>
            <a:rPr lang="ja-JP" altLang="en-US" sz="1100" b="0" i="0" u="none" strike="noStrike" baseline="0">
              <a:solidFill>
                <a:srgbClr val="000000"/>
              </a:solidFill>
              <a:latin typeface="ＭＳ Ｐゴシック"/>
              <a:ea typeface="+mn-ea"/>
            </a:rPr>
            <a:t>　　　　　　　　 ＴＥＬ　　</a:t>
          </a:r>
          <a:r>
            <a:rPr lang="en-US" altLang="ja-JP" sz="1100" b="0" i="0" u="none" strike="noStrike" baseline="0">
              <a:solidFill>
                <a:srgbClr val="000000"/>
              </a:solidFill>
              <a:latin typeface="ＭＳ Ｐゴシック"/>
              <a:ea typeface="+mn-ea"/>
            </a:rPr>
            <a:t>075-222-3616</a:t>
          </a:r>
          <a:r>
            <a:rPr lang="ja-JP" altLang="en-US" sz="1100" b="0" i="0" u="none" strike="noStrike" baseline="0">
              <a:solidFill>
                <a:srgbClr val="000000"/>
              </a:solidFill>
              <a:latin typeface="ＭＳ Ｐゴシック"/>
              <a:ea typeface="+mn-ea"/>
            </a:rPr>
            <a:t>　　ＦＡＸ　　</a:t>
          </a:r>
          <a:r>
            <a:rPr lang="en-US" altLang="ja-JP" sz="1100" b="0" i="0" u="none" strike="noStrike" baseline="0">
              <a:solidFill>
                <a:srgbClr val="000000"/>
              </a:solidFill>
              <a:latin typeface="ＭＳ Ｐゴシック"/>
              <a:ea typeface="+mn-ea"/>
            </a:rPr>
            <a:t>075-212-3657 </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xdr:col>
      <xdr:colOff>28575</xdr:colOff>
      <xdr:row>0</xdr:row>
      <xdr:rowOff>104775</xdr:rowOff>
    </xdr:from>
    <xdr:to>
      <xdr:col>7</xdr:col>
      <xdr:colOff>180975</xdr:colOff>
      <xdr:row>35</xdr:row>
      <xdr:rowOff>161925</xdr:rowOff>
    </xdr:to>
    <xdr:sp macro="" textlink="">
      <xdr:nvSpPr>
        <xdr:cNvPr id="4099" name="Text Box 3">
          <a:extLst>
            <a:ext uri="{FF2B5EF4-FFF2-40B4-BE49-F238E27FC236}">
              <a16:creationId xmlns:a16="http://schemas.microsoft.com/office/drawing/2014/main" id="{00000000-0008-0000-1300-000003100000}"/>
            </a:ext>
          </a:extLst>
        </xdr:cNvPr>
        <xdr:cNvSpPr txBox="1">
          <a:spLocks noChangeArrowheads="1"/>
        </xdr:cNvSpPr>
      </xdr:nvSpPr>
      <xdr:spPr bwMode="auto">
        <a:xfrm>
          <a:off x="114300" y="104775"/>
          <a:ext cx="41529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a:t>
          </a:r>
          <a:r>
            <a:rPr lang="en-US" altLang="ja-JP" sz="1100" b="0" i="0" u="none" strike="noStrike" baseline="0">
              <a:solidFill>
                <a:srgbClr val="000000"/>
              </a:solidFill>
              <a:latin typeface="ＭＳ Ｐゴシック"/>
              <a:ea typeface="+mn-ea"/>
            </a:rPr>
            <a:t>CASBEE</a:t>
          </a:r>
          <a:r>
            <a:rPr lang="ja-JP" altLang="en-US" sz="1100" b="0" i="0" u="none" strike="noStrike" baseline="0">
              <a:solidFill>
                <a:srgbClr val="000000"/>
              </a:solidFill>
              <a:latin typeface="ＭＳ Ｐゴシック"/>
              <a:ea typeface="+mn-ea"/>
            </a:rPr>
            <a:t>京都</a:t>
          </a:r>
          <a:r>
            <a:rPr lang="en-US" altLang="ja-JP"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mn-ea"/>
            </a:rPr>
            <a:t>新築（建築版）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114300</xdr:colOff>
      <xdr:row>46</xdr:row>
      <xdr:rowOff>57150</xdr:rowOff>
    </xdr:from>
    <xdr:to>
      <xdr:col>6</xdr:col>
      <xdr:colOff>454350</xdr:colOff>
      <xdr:row>46</xdr:row>
      <xdr:rowOff>57150</xdr:rowOff>
    </xdr:to>
    <xdr:sp macro="" textlink="">
      <xdr:nvSpPr>
        <xdr:cNvPr id="111" name="Line 5">
          <a:extLst>
            <a:ext uri="{FF2B5EF4-FFF2-40B4-BE49-F238E27FC236}">
              <a16:creationId xmlns:a16="http://schemas.microsoft.com/office/drawing/2014/main" id="{00000000-0008-0000-0100-00006F000000}"/>
            </a:ext>
          </a:extLst>
        </xdr:cNvPr>
        <xdr:cNvSpPr>
          <a:spLocks noChangeShapeType="1"/>
        </xdr:cNvSpPr>
      </xdr:nvSpPr>
      <xdr:spPr bwMode="auto">
        <a:xfrm flipV="1">
          <a:off x="333375" y="8296275"/>
          <a:ext cx="2988000" cy="0"/>
        </a:xfrm>
        <a:prstGeom prst="line">
          <a:avLst/>
        </a:prstGeom>
        <a:noFill/>
        <a:ln w="19050">
          <a:solidFill>
            <a:srgbClr val="FF0000"/>
          </a:solidFill>
          <a:round/>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a:p>
      </xdr:txBody>
    </xdr:sp>
    <xdr:clientData/>
  </xdr:twoCellAnchor>
  <xdr:twoCellAnchor>
    <xdr:from>
      <xdr:col>11</xdr:col>
      <xdr:colOff>404813</xdr:colOff>
      <xdr:row>57</xdr:row>
      <xdr:rowOff>47625</xdr:rowOff>
    </xdr:from>
    <xdr:to>
      <xdr:col>14</xdr:col>
      <xdr:colOff>683363</xdr:colOff>
      <xdr:row>57</xdr:row>
      <xdr:rowOff>47625</xdr:rowOff>
    </xdr:to>
    <xdr:sp macro="" textlink="">
      <xdr:nvSpPr>
        <xdr:cNvPr id="101" name="Line 5">
          <a:extLst>
            <a:ext uri="{FF2B5EF4-FFF2-40B4-BE49-F238E27FC236}">
              <a16:creationId xmlns:a16="http://schemas.microsoft.com/office/drawing/2014/main" id="{00000000-0008-0000-0100-000065000000}"/>
            </a:ext>
          </a:extLst>
        </xdr:cNvPr>
        <xdr:cNvSpPr>
          <a:spLocks noChangeShapeType="1"/>
        </xdr:cNvSpPr>
      </xdr:nvSpPr>
      <xdr:spPr bwMode="auto">
        <a:xfrm flipV="1">
          <a:off x="7119938" y="10429875"/>
          <a:ext cx="2736000" cy="0"/>
        </a:xfrm>
        <a:prstGeom prst="line">
          <a:avLst/>
        </a:prstGeom>
        <a:noFill/>
        <a:ln w="19050">
          <a:solidFill>
            <a:srgbClr val="FF0000"/>
          </a:solidFill>
          <a:round/>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a:p>
      </xdr:txBody>
    </xdr:sp>
    <xdr:clientData/>
  </xdr:twoCellAnchor>
  <xdr:twoCellAnchor>
    <xdr:from>
      <xdr:col>7</xdr:col>
      <xdr:colOff>433388</xdr:colOff>
      <xdr:row>57</xdr:row>
      <xdr:rowOff>66675</xdr:rowOff>
    </xdr:from>
    <xdr:to>
      <xdr:col>10</xdr:col>
      <xdr:colOff>721463</xdr:colOff>
      <xdr:row>57</xdr:row>
      <xdr:rowOff>66675</xdr:rowOff>
    </xdr:to>
    <xdr:sp macro="" textlink="">
      <xdr:nvSpPr>
        <xdr:cNvPr id="104" name="Line 5">
          <a:extLst>
            <a:ext uri="{FF2B5EF4-FFF2-40B4-BE49-F238E27FC236}">
              <a16:creationId xmlns:a16="http://schemas.microsoft.com/office/drawing/2014/main" id="{00000000-0008-0000-0100-000068000000}"/>
            </a:ext>
          </a:extLst>
        </xdr:cNvPr>
        <xdr:cNvSpPr>
          <a:spLocks noChangeShapeType="1"/>
        </xdr:cNvSpPr>
      </xdr:nvSpPr>
      <xdr:spPr bwMode="auto">
        <a:xfrm flipV="1">
          <a:off x="3795713" y="10448925"/>
          <a:ext cx="2736000" cy="0"/>
        </a:xfrm>
        <a:prstGeom prst="line">
          <a:avLst/>
        </a:prstGeom>
        <a:noFill/>
        <a:ln w="19050">
          <a:solidFill>
            <a:srgbClr val="FF0000"/>
          </a:solidFill>
          <a:round/>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a:p>
      </xdr:txBody>
    </xdr:sp>
    <xdr:clientData/>
  </xdr:twoCellAnchor>
  <xdr:twoCellAnchor>
    <xdr:from>
      <xdr:col>2</xdr:col>
      <xdr:colOff>90488</xdr:colOff>
      <xdr:row>57</xdr:row>
      <xdr:rowOff>95250</xdr:rowOff>
    </xdr:from>
    <xdr:to>
      <xdr:col>6</xdr:col>
      <xdr:colOff>430538</xdr:colOff>
      <xdr:row>57</xdr:row>
      <xdr:rowOff>95250</xdr:rowOff>
    </xdr:to>
    <xdr:sp macro="" textlink="">
      <xdr:nvSpPr>
        <xdr:cNvPr id="102" name="Line 5">
          <a:extLst>
            <a:ext uri="{FF2B5EF4-FFF2-40B4-BE49-F238E27FC236}">
              <a16:creationId xmlns:a16="http://schemas.microsoft.com/office/drawing/2014/main" id="{00000000-0008-0000-0100-000066000000}"/>
            </a:ext>
          </a:extLst>
        </xdr:cNvPr>
        <xdr:cNvSpPr>
          <a:spLocks noChangeShapeType="1"/>
        </xdr:cNvSpPr>
      </xdr:nvSpPr>
      <xdr:spPr bwMode="auto">
        <a:xfrm flipV="1">
          <a:off x="309563" y="10477500"/>
          <a:ext cx="2988000" cy="0"/>
        </a:xfrm>
        <a:prstGeom prst="line">
          <a:avLst/>
        </a:prstGeom>
        <a:noFill/>
        <a:ln w="19050">
          <a:solidFill>
            <a:srgbClr val="FF0000"/>
          </a:solidFill>
          <a:round/>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a:p>
      </xdr:txBody>
    </xdr:sp>
    <xdr:clientData/>
  </xdr:twoCellAnchor>
  <xdr:twoCellAnchor>
    <xdr:from>
      <xdr:col>11</xdr:col>
      <xdr:colOff>404813</xdr:colOff>
      <xdr:row>46</xdr:row>
      <xdr:rowOff>47625</xdr:rowOff>
    </xdr:from>
    <xdr:to>
      <xdr:col>14</xdr:col>
      <xdr:colOff>683363</xdr:colOff>
      <xdr:row>46</xdr:row>
      <xdr:rowOff>47625</xdr:rowOff>
    </xdr:to>
    <xdr:sp macro="" textlink="">
      <xdr:nvSpPr>
        <xdr:cNvPr id="103" name="Line 5">
          <a:extLst>
            <a:ext uri="{FF2B5EF4-FFF2-40B4-BE49-F238E27FC236}">
              <a16:creationId xmlns:a16="http://schemas.microsoft.com/office/drawing/2014/main" id="{00000000-0008-0000-0100-000067000000}"/>
            </a:ext>
          </a:extLst>
        </xdr:cNvPr>
        <xdr:cNvSpPr>
          <a:spLocks noChangeShapeType="1"/>
        </xdr:cNvSpPr>
      </xdr:nvSpPr>
      <xdr:spPr bwMode="auto">
        <a:xfrm flipV="1">
          <a:off x="7119938" y="8286750"/>
          <a:ext cx="2736000" cy="0"/>
        </a:xfrm>
        <a:prstGeom prst="line">
          <a:avLst/>
        </a:prstGeom>
        <a:noFill/>
        <a:ln w="19050">
          <a:solidFill>
            <a:srgbClr val="FF0000"/>
          </a:solidFill>
          <a:round/>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a:p>
      </xdr:txBody>
    </xdr:sp>
    <xdr:clientData/>
  </xdr:twoCellAnchor>
  <xdr:twoCellAnchor>
    <xdr:from>
      <xdr:col>7</xdr:col>
      <xdr:colOff>433388</xdr:colOff>
      <xdr:row>46</xdr:row>
      <xdr:rowOff>47625</xdr:rowOff>
    </xdr:from>
    <xdr:to>
      <xdr:col>10</xdr:col>
      <xdr:colOff>721463</xdr:colOff>
      <xdr:row>46</xdr:row>
      <xdr:rowOff>47625</xdr:rowOff>
    </xdr:to>
    <xdr:sp macro="" textlink="">
      <xdr:nvSpPr>
        <xdr:cNvPr id="96" name="Line 5">
          <a:extLst>
            <a:ext uri="{FF2B5EF4-FFF2-40B4-BE49-F238E27FC236}">
              <a16:creationId xmlns:a16="http://schemas.microsoft.com/office/drawing/2014/main" id="{00000000-0008-0000-0100-000060000000}"/>
            </a:ext>
          </a:extLst>
        </xdr:cNvPr>
        <xdr:cNvSpPr>
          <a:spLocks noChangeShapeType="1"/>
        </xdr:cNvSpPr>
      </xdr:nvSpPr>
      <xdr:spPr bwMode="auto">
        <a:xfrm flipV="1">
          <a:off x="3795713" y="8286750"/>
          <a:ext cx="2736000" cy="0"/>
        </a:xfrm>
        <a:prstGeom prst="line">
          <a:avLst/>
        </a:prstGeom>
        <a:noFill/>
        <a:ln w="19050">
          <a:solidFill>
            <a:srgbClr val="FF0000"/>
          </a:solidFill>
          <a:round/>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a:p>
      </xdr:txBody>
    </xdr:sp>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1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1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1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a:extLst>
            <a:ext uri="{FF2B5EF4-FFF2-40B4-BE49-F238E27FC236}">
              <a16:creationId xmlns:a16="http://schemas.microsoft.com/office/drawing/2014/main" id="{00000000-0008-0000-0100-00002F000000}"/>
            </a:ext>
          </a:extLst>
        </xdr:cNvPr>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1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133350</xdr:colOff>
      <xdr:row>26</xdr:row>
      <xdr:rowOff>123825</xdr:rowOff>
    </xdr:from>
    <xdr:to>
      <xdr:col>6</xdr:col>
      <xdr:colOff>114300</xdr:colOff>
      <xdr:row>39</xdr:row>
      <xdr:rowOff>66675</xdr:rowOff>
    </xdr:to>
    <xdr:graphicFrame macro="">
      <xdr:nvGraphicFramePr>
        <xdr:cNvPr id="49" name="Chart 17">
          <a:extLst>
            <a:ext uri="{FF2B5EF4-FFF2-40B4-BE49-F238E27FC236}">
              <a16:creationId xmlns:a16="http://schemas.microsoft.com/office/drawing/2014/main" id="{00000000-0008-0000-01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a:extLst>
            <a:ext uri="{FF2B5EF4-FFF2-40B4-BE49-F238E27FC236}">
              <a16:creationId xmlns:a16="http://schemas.microsoft.com/office/drawing/2014/main" id="{00000000-0008-0000-01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1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1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a:extLst>
            <a:ext uri="{FF2B5EF4-FFF2-40B4-BE49-F238E27FC236}">
              <a16:creationId xmlns:a16="http://schemas.microsoft.com/office/drawing/2014/main" id="{00000000-0008-0000-0100-000035000000}"/>
            </a:ext>
          </a:extLst>
        </xdr:cNvPr>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a:extLst>
            <a:ext uri="{FF2B5EF4-FFF2-40B4-BE49-F238E27FC236}">
              <a16:creationId xmlns:a16="http://schemas.microsoft.com/office/drawing/2014/main" id="{00000000-0008-0000-0100-000036000000}"/>
            </a:ext>
          </a:extLst>
        </xdr:cNvPr>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a:extLst>
            <a:ext uri="{FF2B5EF4-FFF2-40B4-BE49-F238E27FC236}">
              <a16:creationId xmlns:a16="http://schemas.microsoft.com/office/drawing/2014/main" id="{00000000-0008-0000-0100-000037000000}"/>
            </a:ext>
          </a:extLst>
        </xdr:cNvPr>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847725</xdr:colOff>
      <xdr:row>22</xdr:row>
      <xdr:rowOff>228600</xdr:rowOff>
    </xdr:from>
    <xdr:to>
      <xdr:col>16</xdr:col>
      <xdr:colOff>95250</xdr:colOff>
      <xdr:row>38</xdr:row>
      <xdr:rowOff>133350</xdr:rowOff>
    </xdr:to>
    <xdr:graphicFrame macro="">
      <xdr:nvGraphicFramePr>
        <xdr:cNvPr id="56" name="Chart 8">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1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a:extLst>
            <a:ext uri="{FF2B5EF4-FFF2-40B4-BE49-F238E27FC236}">
              <a16:creationId xmlns:a16="http://schemas.microsoft.com/office/drawing/2014/main" id="{00000000-0008-0000-0100-000041000000}"/>
            </a:ext>
          </a:extLst>
        </xdr:cNvPr>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a:extLst>
            <a:ext uri="{FF2B5EF4-FFF2-40B4-BE49-F238E27FC236}">
              <a16:creationId xmlns:a16="http://schemas.microsoft.com/office/drawing/2014/main" id="{00000000-0008-0000-0100-000042000000}"/>
            </a:ext>
          </a:extLst>
        </xdr:cNvPr>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657225</xdr:colOff>
      <xdr:row>49</xdr:row>
      <xdr:rowOff>171450</xdr:rowOff>
    </xdr:from>
    <xdr:ext cx="419100" cy="133350"/>
    <xdr:sp macro="" textlink="">
      <xdr:nvSpPr>
        <xdr:cNvPr id="67" name="Text Box 22">
          <a:extLst>
            <a:ext uri="{FF2B5EF4-FFF2-40B4-BE49-F238E27FC236}">
              <a16:creationId xmlns:a16="http://schemas.microsoft.com/office/drawing/2014/main" id="{00000000-0008-0000-0100-000043000000}"/>
            </a:ext>
          </a:extLst>
        </xdr:cNvPr>
        <xdr:cNvSpPr txBox="1">
          <a:spLocks noChangeArrowheads="1"/>
        </xdr:cNvSpPr>
      </xdr:nvSpPr>
      <xdr:spPr bwMode="auto">
        <a:xfrm>
          <a:off x="7372350" y="89820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a:extLst>
            <a:ext uri="{FF2B5EF4-FFF2-40B4-BE49-F238E27FC236}">
              <a16:creationId xmlns:a16="http://schemas.microsoft.com/office/drawing/2014/main" id="{00000000-0008-0000-0100-000044000000}"/>
            </a:ext>
          </a:extLst>
        </xdr:cNvPr>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a:extLst>
            <a:ext uri="{FF2B5EF4-FFF2-40B4-BE49-F238E27FC236}">
              <a16:creationId xmlns:a16="http://schemas.microsoft.com/office/drawing/2014/main" id="{00000000-0008-0000-0100-000045000000}"/>
            </a:ext>
          </a:extLst>
        </xdr:cNvPr>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600075</xdr:colOff>
      <xdr:row>49</xdr:row>
      <xdr:rowOff>114300</xdr:rowOff>
    </xdr:from>
    <xdr:to>
      <xdr:col>13</xdr:col>
      <xdr:colOff>247650</xdr:colOff>
      <xdr:row>51</xdr:row>
      <xdr:rowOff>0</xdr:rowOff>
    </xdr:to>
    <xdr:sp macro="" textlink="">
      <xdr:nvSpPr>
        <xdr:cNvPr id="70" name="Text Box 109">
          <a:extLst>
            <a:ext uri="{FF2B5EF4-FFF2-40B4-BE49-F238E27FC236}">
              <a16:creationId xmlns:a16="http://schemas.microsoft.com/office/drawing/2014/main" id="{00000000-0008-0000-0100-000046000000}"/>
            </a:ext>
          </a:extLst>
        </xdr:cNvPr>
        <xdr:cNvSpPr txBox="1">
          <a:spLocks noChangeArrowheads="1"/>
        </xdr:cNvSpPr>
      </xdr:nvSpPr>
      <xdr:spPr bwMode="auto">
        <a:xfrm>
          <a:off x="8220075" y="89249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609600</xdr:colOff>
      <xdr:row>49</xdr:row>
      <xdr:rowOff>114300</xdr:rowOff>
    </xdr:from>
    <xdr:to>
      <xdr:col>14</xdr:col>
      <xdr:colOff>428625</xdr:colOff>
      <xdr:row>51</xdr:row>
      <xdr:rowOff>0</xdr:rowOff>
    </xdr:to>
    <xdr:sp macro="" textlink="">
      <xdr:nvSpPr>
        <xdr:cNvPr id="71" name="Text Box 110">
          <a:extLst>
            <a:ext uri="{FF2B5EF4-FFF2-40B4-BE49-F238E27FC236}">
              <a16:creationId xmlns:a16="http://schemas.microsoft.com/office/drawing/2014/main" id="{00000000-0008-0000-0100-000047000000}"/>
            </a:ext>
          </a:extLst>
        </xdr:cNvPr>
        <xdr:cNvSpPr txBox="1">
          <a:spLocks noChangeArrowheads="1"/>
        </xdr:cNvSpPr>
      </xdr:nvSpPr>
      <xdr:spPr bwMode="auto">
        <a:xfrm>
          <a:off x="9124950" y="89249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1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1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1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a:extLst>
            <a:ext uri="{FF2B5EF4-FFF2-40B4-BE49-F238E27FC236}">
              <a16:creationId xmlns:a16="http://schemas.microsoft.com/office/drawing/2014/main" id="{00000000-0008-0000-01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a:extLst>
            <a:ext uri="{FF2B5EF4-FFF2-40B4-BE49-F238E27FC236}">
              <a16:creationId xmlns:a16="http://schemas.microsoft.com/office/drawing/2014/main" id="{00000000-0008-0000-0100-00004C000000}"/>
            </a:ext>
          </a:extLst>
        </xdr:cNvPr>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a:extLst>
            <a:ext uri="{FF2B5EF4-FFF2-40B4-BE49-F238E27FC236}">
              <a16:creationId xmlns:a16="http://schemas.microsoft.com/office/drawing/2014/main" id="{00000000-0008-0000-01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a:extLst>
            <a:ext uri="{FF2B5EF4-FFF2-40B4-BE49-F238E27FC236}">
              <a16:creationId xmlns:a16="http://schemas.microsoft.com/office/drawing/2014/main" id="{00000000-0008-0000-0100-00004E000000}"/>
            </a:ext>
          </a:extLst>
        </xdr:cNvPr>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a:extLst>
            <a:ext uri="{FF2B5EF4-FFF2-40B4-BE49-F238E27FC236}">
              <a16:creationId xmlns:a16="http://schemas.microsoft.com/office/drawing/2014/main" id="{00000000-0008-0000-0100-00004F000000}"/>
            </a:ext>
          </a:extLst>
        </xdr:cNvPr>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1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1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1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83" name="Text Box 145">
          <a:extLst>
            <a:ext uri="{FF2B5EF4-FFF2-40B4-BE49-F238E27FC236}">
              <a16:creationId xmlns:a16="http://schemas.microsoft.com/office/drawing/2014/main" id="{00000000-0008-0000-0100-000053000000}"/>
            </a:ext>
          </a:extLst>
        </xdr:cNvPr>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a:extLst>
            <a:ext uri="{FF2B5EF4-FFF2-40B4-BE49-F238E27FC236}">
              <a16:creationId xmlns:a16="http://schemas.microsoft.com/office/drawing/2014/main" id="{00000000-0008-0000-0100-000054000000}"/>
            </a:ext>
          </a:extLst>
        </xdr:cNvPr>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a:extLst>
            <a:ext uri="{FF2B5EF4-FFF2-40B4-BE49-F238E27FC236}">
              <a16:creationId xmlns:a16="http://schemas.microsoft.com/office/drawing/2014/main" id="{00000000-0008-0000-0100-000055000000}"/>
            </a:ext>
          </a:extLst>
        </xdr:cNvPr>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a:extLst>
            <a:ext uri="{FF2B5EF4-FFF2-40B4-BE49-F238E27FC236}">
              <a16:creationId xmlns:a16="http://schemas.microsoft.com/office/drawing/2014/main" id="{00000000-0008-0000-0100-000056000000}"/>
            </a:ext>
          </a:extLst>
        </xdr:cNvPr>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a:extLst>
            <a:ext uri="{FF2B5EF4-FFF2-40B4-BE49-F238E27FC236}">
              <a16:creationId xmlns:a16="http://schemas.microsoft.com/office/drawing/2014/main" id="{00000000-0008-0000-0100-000057000000}"/>
            </a:ext>
          </a:extLst>
        </xdr:cNvPr>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a:extLst>
            <a:ext uri="{FF2B5EF4-FFF2-40B4-BE49-F238E27FC236}">
              <a16:creationId xmlns:a16="http://schemas.microsoft.com/office/drawing/2014/main" id="{00000000-0008-0000-0100-000058000000}"/>
            </a:ext>
          </a:extLst>
        </xdr:cNvPr>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a:extLst>
            <a:ext uri="{FF2B5EF4-FFF2-40B4-BE49-F238E27FC236}">
              <a16:creationId xmlns:a16="http://schemas.microsoft.com/office/drawing/2014/main" id="{00000000-0008-0000-0100-000059000000}"/>
            </a:ext>
          </a:extLst>
        </xdr:cNvPr>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a:extLst>
            <a:ext uri="{FF2B5EF4-FFF2-40B4-BE49-F238E27FC236}">
              <a16:creationId xmlns:a16="http://schemas.microsoft.com/office/drawing/2014/main" id="{00000000-0008-0000-0100-00005A000000}"/>
            </a:ext>
          </a:extLst>
        </xdr:cNvPr>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58" name="Text Box 141">
          <a:extLst>
            <a:ext uri="{FF2B5EF4-FFF2-40B4-BE49-F238E27FC236}">
              <a16:creationId xmlns:a16="http://schemas.microsoft.com/office/drawing/2014/main" id="{00000000-0008-0000-0100-00003A000000}"/>
            </a:ext>
          </a:extLst>
        </xdr:cNvPr>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oneCellAnchor>
    <xdr:from>
      <xdr:col>5</xdr:col>
      <xdr:colOff>447673</xdr:colOff>
      <xdr:row>1</xdr:row>
      <xdr:rowOff>0</xdr:rowOff>
    </xdr:from>
    <xdr:ext cx="2497607" cy="584775"/>
    <xdr:sp macro="" textlink="">
      <xdr:nvSpPr>
        <xdr:cNvPr id="62" name="Text Box 231">
          <a:extLst>
            <a:ext uri="{FF2B5EF4-FFF2-40B4-BE49-F238E27FC236}">
              <a16:creationId xmlns:a16="http://schemas.microsoft.com/office/drawing/2014/main" id="{00000000-0008-0000-0100-00003E000000}"/>
            </a:ext>
          </a:extLst>
        </xdr:cNvPr>
        <xdr:cNvSpPr txBox="1">
          <a:spLocks noChangeArrowheads="1"/>
        </xdr:cNvSpPr>
      </xdr:nvSpPr>
      <xdr:spPr bwMode="auto">
        <a:xfrm>
          <a:off x="2838448" y="76200"/>
          <a:ext cx="2497607" cy="584775"/>
        </a:xfrm>
        <a:prstGeom prst="rect">
          <a:avLst/>
        </a:prstGeom>
        <a:noFill/>
        <a:ln>
          <a:noFill/>
        </a:ln>
      </xdr:spPr>
      <xdr:txBody>
        <a:bodyPr vertOverflow="clip" wrap="none" lIns="73152" tIns="45720" rIns="0" bIns="0" anchor="t" upright="1">
          <a:spAutoFit/>
        </a:bodyPr>
        <a:lstStyle/>
        <a:p>
          <a:pPr algn="l" rtl="0">
            <a:defRPr sz="1000"/>
          </a:pPr>
          <a:r>
            <a:rPr lang="ja-JP" altLang="en-US" sz="4200" b="0" i="0" u="none" strike="noStrike" baseline="0">
              <a:solidFill>
                <a:srgbClr val="008000"/>
              </a:solidFill>
              <a:latin typeface="ＤＦ超極太明朝体"/>
              <a:ea typeface="ＤＦ超極太明朝体"/>
            </a:rPr>
            <a:t>京都</a:t>
          </a:r>
          <a:r>
            <a:rPr lang="en-US" altLang="ja-JP" sz="4200" b="0" i="0" u="none" strike="noStrike" baseline="0">
              <a:solidFill>
                <a:srgbClr val="008000"/>
              </a:solidFill>
              <a:latin typeface="ＤＦ超極太明朝体"/>
              <a:ea typeface="ＤＦ超極太明朝体"/>
            </a:rPr>
            <a:t>-</a:t>
          </a:r>
          <a:r>
            <a:rPr lang="ja-JP" altLang="en-US" sz="4200" b="0" i="0" u="none" strike="noStrike" baseline="0">
              <a:solidFill>
                <a:srgbClr val="008000"/>
              </a:solidFill>
              <a:latin typeface="ＤＦ超極太明朝体"/>
              <a:ea typeface="ＤＦ超極太明朝体"/>
            </a:rPr>
            <a:t>新築</a:t>
          </a:r>
        </a:p>
      </xdr:txBody>
    </xdr:sp>
    <xdr:clientData/>
  </xdr:oneCellAnchor>
  <xdr:twoCellAnchor>
    <xdr:from>
      <xdr:col>10</xdr:col>
      <xdr:colOff>514350</xdr:colOff>
      <xdr:row>1</xdr:row>
      <xdr:rowOff>0</xdr:rowOff>
    </xdr:from>
    <xdr:to>
      <xdr:col>13</xdr:col>
      <xdr:colOff>352425</xdr:colOff>
      <xdr:row>4</xdr:row>
      <xdr:rowOff>133350</xdr:rowOff>
    </xdr:to>
    <xdr:grpSp>
      <xdr:nvGrpSpPr>
        <xdr:cNvPr id="91" name="グループ化 79">
          <a:extLst>
            <a:ext uri="{FF2B5EF4-FFF2-40B4-BE49-F238E27FC236}">
              <a16:creationId xmlns:a16="http://schemas.microsoft.com/office/drawing/2014/main" id="{00000000-0008-0000-0100-00005B000000}"/>
            </a:ext>
          </a:extLst>
        </xdr:cNvPr>
        <xdr:cNvGrpSpPr>
          <a:grpSpLocks/>
        </xdr:cNvGrpSpPr>
      </xdr:nvGrpSpPr>
      <xdr:grpSpPr bwMode="auto">
        <a:xfrm>
          <a:off x="6324600" y="76200"/>
          <a:ext cx="2543175" cy="847725"/>
          <a:chOff x="7252100" y="79375"/>
          <a:chExt cx="2536305" cy="846979"/>
        </a:xfrm>
      </xdr:grpSpPr>
      <xdr:sp macro="" textlink="">
        <xdr:nvSpPr>
          <xdr:cNvPr id="92" name="テキスト ボックス 91">
            <a:extLst>
              <a:ext uri="{FF2B5EF4-FFF2-40B4-BE49-F238E27FC236}">
                <a16:creationId xmlns:a16="http://schemas.microsoft.com/office/drawing/2014/main" id="{00000000-0008-0000-0100-00005C000000}"/>
              </a:ext>
            </a:extLst>
          </xdr:cNvPr>
          <xdr:cNvSpPr txBox="1"/>
        </xdr:nvSpPr>
        <xdr:spPr>
          <a:xfrm>
            <a:off x="7252100" y="79375"/>
            <a:ext cx="2536305" cy="846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rtl="0">
              <a:lnSpc>
                <a:spcPts val="3100"/>
              </a:lnSpc>
              <a:defRPr sz="1000"/>
            </a:pPr>
            <a:r>
              <a:rPr lang="ja-JP" altLang="en-US" sz="2600" b="0" i="0" u="none" strike="noStrike" baseline="0">
                <a:solidFill>
                  <a:srgbClr val="000000"/>
                </a:solidFill>
                <a:latin typeface="ＭＳ Ｐゴシック"/>
                <a:ea typeface="ＭＳ Ｐゴシック"/>
              </a:rPr>
              <a:t>標準システム</a:t>
            </a:r>
            <a:endParaRPr lang="ja-JP" altLang="en-US" sz="2600" b="0" i="0" u="none" strike="noStrike" baseline="0">
              <a:solidFill>
                <a:srgbClr val="000000"/>
              </a:solidFill>
              <a:latin typeface="Calibri"/>
              <a:cs typeface="Calibri"/>
            </a:endParaRPr>
          </a:p>
          <a:p>
            <a:pPr algn="ctr" rtl="0">
              <a:lnSpc>
                <a:spcPts val="3000"/>
              </a:lnSpc>
              <a:defRPr sz="1000"/>
            </a:pPr>
            <a:r>
              <a:rPr lang="ja-JP" altLang="en-US" sz="2600" b="0" i="0" u="none" strike="noStrike" baseline="0">
                <a:solidFill>
                  <a:srgbClr val="000000"/>
                </a:solidFill>
                <a:latin typeface="ＭＳ Ｐゴシック"/>
                <a:ea typeface="ＭＳ Ｐゴシック"/>
              </a:rPr>
              <a:t>評価結果</a:t>
            </a:r>
          </a:p>
        </xdr:txBody>
      </xdr:sp>
      <xdr:sp macro="" textlink="">
        <xdr:nvSpPr>
          <xdr:cNvPr id="93" name="正方形/長方形 92">
            <a:extLst>
              <a:ext uri="{FF2B5EF4-FFF2-40B4-BE49-F238E27FC236}">
                <a16:creationId xmlns:a16="http://schemas.microsoft.com/office/drawing/2014/main" id="{00000000-0008-0000-0100-00005D000000}"/>
              </a:ext>
            </a:extLst>
          </xdr:cNvPr>
          <xdr:cNvSpPr/>
        </xdr:nvSpPr>
        <xdr:spPr>
          <a:xfrm>
            <a:off x="7271099" y="98408"/>
            <a:ext cx="123491" cy="713746"/>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9636417" y="107925"/>
            <a:ext cx="123491" cy="713746"/>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editAs="oneCell">
    <xdr:from>
      <xdr:col>2</xdr:col>
      <xdr:colOff>0</xdr:colOff>
      <xdr:row>1</xdr:row>
      <xdr:rowOff>200025</xdr:rowOff>
    </xdr:from>
    <xdr:to>
      <xdr:col>5</xdr:col>
      <xdr:colOff>447675</xdr:colOff>
      <xdr:row>3</xdr:row>
      <xdr:rowOff>180975</xdr:rowOff>
    </xdr:to>
    <xdr:pic>
      <xdr:nvPicPr>
        <xdr:cNvPr id="95" name="図 2">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9075" y="276225"/>
          <a:ext cx="26193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18124</xdr:colOff>
      <xdr:row>42</xdr:row>
      <xdr:rowOff>85725</xdr:rowOff>
    </xdr:from>
    <xdr:to>
      <xdr:col>2</xdr:col>
      <xdr:colOff>93586</xdr:colOff>
      <xdr:row>50</xdr:row>
      <xdr:rowOff>1</xdr:rowOff>
    </xdr:to>
    <xdr:pic>
      <xdr:nvPicPr>
        <xdr:cNvPr id="100" name="図 99">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274" y="7562850"/>
          <a:ext cx="237387" cy="1438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151474</xdr:colOff>
      <xdr:row>42</xdr:row>
      <xdr:rowOff>95250</xdr:rowOff>
    </xdr:from>
    <xdr:to>
      <xdr:col>11</xdr:col>
      <xdr:colOff>388861</xdr:colOff>
      <xdr:row>50</xdr:row>
      <xdr:rowOff>9526</xdr:rowOff>
    </xdr:to>
    <xdr:pic>
      <xdr:nvPicPr>
        <xdr:cNvPr id="105" name="図 104">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66599" y="7572375"/>
          <a:ext cx="237387" cy="1438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180049</xdr:colOff>
      <xdr:row>42</xdr:row>
      <xdr:rowOff>95250</xdr:rowOff>
    </xdr:from>
    <xdr:to>
      <xdr:col>7</xdr:col>
      <xdr:colOff>417436</xdr:colOff>
      <xdr:row>50</xdr:row>
      <xdr:rowOff>9526</xdr:rowOff>
    </xdr:to>
    <xdr:pic>
      <xdr:nvPicPr>
        <xdr:cNvPr id="106" name="図 105">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42374" y="7572375"/>
          <a:ext cx="237387" cy="1438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180049</xdr:colOff>
      <xdr:row>53</xdr:row>
      <xdr:rowOff>114300</xdr:rowOff>
    </xdr:from>
    <xdr:to>
      <xdr:col>7</xdr:col>
      <xdr:colOff>417436</xdr:colOff>
      <xdr:row>60</xdr:row>
      <xdr:rowOff>180976</xdr:rowOff>
    </xdr:to>
    <xdr:pic>
      <xdr:nvPicPr>
        <xdr:cNvPr id="107" name="図 106">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42374" y="9725025"/>
          <a:ext cx="237387" cy="1438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8599</xdr:colOff>
      <xdr:row>53</xdr:row>
      <xdr:rowOff>133350</xdr:rowOff>
    </xdr:from>
    <xdr:to>
      <xdr:col>2</xdr:col>
      <xdr:colOff>84061</xdr:colOff>
      <xdr:row>61</xdr:row>
      <xdr:rowOff>1</xdr:rowOff>
    </xdr:to>
    <xdr:pic>
      <xdr:nvPicPr>
        <xdr:cNvPr id="108" name="図 107">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5749" y="9744075"/>
          <a:ext cx="237387" cy="1438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151474</xdr:colOff>
      <xdr:row>53</xdr:row>
      <xdr:rowOff>114300</xdr:rowOff>
    </xdr:from>
    <xdr:to>
      <xdr:col>11</xdr:col>
      <xdr:colOff>388861</xdr:colOff>
      <xdr:row>60</xdr:row>
      <xdr:rowOff>180976</xdr:rowOff>
    </xdr:to>
    <xdr:pic>
      <xdr:nvPicPr>
        <xdr:cNvPr id="109" name="図 108">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66599" y="9725025"/>
          <a:ext cx="237387" cy="1438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10" name="Chart 4">
          <a:extLst>
            <a:ext uri="{FF2B5EF4-FFF2-40B4-BE49-F238E27FC236}">
              <a16:creationId xmlns:a16="http://schemas.microsoft.com/office/drawing/2014/main" id="{00000000-0008-0000-01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4.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0.12219</cdr:x>
      <cdr:y>0.66867</cdr:y>
    </cdr:from>
    <cdr:to>
      <cdr:x>0.3119</cdr:x>
      <cdr:y>0.81325</cdr:y>
    </cdr:to>
    <cdr:sp macro="" textlink="結果!$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0.1254</cdr:x>
      <cdr:y>0.66265</cdr:y>
    </cdr:from>
    <cdr:to>
      <cdr:x>0.33119</cdr:x>
      <cdr:y>0.80723</cdr:y>
    </cdr:to>
    <cdr:sp macro="" textlink="結果!$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7.xml><?xml version="1.0" encoding="utf-8"?>
<c:userShapes xmlns:c="http://schemas.openxmlformats.org/drawingml/2006/chart">
  <cdr:relSizeAnchor xmlns:cdr="http://schemas.openxmlformats.org/drawingml/2006/chartDrawing">
    <cdr:from>
      <cdr:x>0.56647</cdr:x>
      <cdr:y>0.65663</cdr:y>
    </cdr:from>
    <cdr:to>
      <cdr:x>0.72832</cdr:x>
      <cdr:y>0.80723</cdr:y>
    </cdr:to>
    <cdr:sp macro="" textlink="結果!$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0.56647</cdr:x>
      <cdr:y>0.65663</cdr:y>
    </cdr:from>
    <cdr:to>
      <cdr:x>0.72832</cdr:x>
      <cdr:y>0.80723</cdr:y>
    </cdr:to>
    <cdr:sp macro="" textlink="結果!$T$62">
      <cdr:nvSpPr>
        <cdr:cNvPr id="3"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60">
      <cdr:nvSpPr>
        <cdr:cNvPr id="7"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1">
      <cdr:nvSpPr>
        <cdr:cNvPr id="8"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3">
      <cdr:nvSpPr>
        <cdr:cNvPr id="9"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0.12219</cdr:x>
      <cdr:y>0.66867</cdr:y>
    </cdr:from>
    <cdr:to>
      <cdr:x>0.3119</cdr:x>
      <cdr:y>0.81325</cdr:y>
    </cdr:to>
    <cdr:sp macro="" textlink="結果!$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0.12219</cdr:x>
      <cdr:y>0.66265</cdr:y>
    </cdr:from>
    <cdr:to>
      <cdr:x>0.3119</cdr:x>
      <cdr:y>0.80723</cdr:y>
    </cdr:to>
    <cdr:sp macro="" textlink="結果!$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#VALUE!</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2.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R107"/>
  <sheetViews>
    <sheetView showGridLines="0" zoomScaleNormal="100" workbookViewId="0">
      <selection activeCell="C74" sqref="C74"/>
    </sheetView>
  </sheetViews>
  <sheetFormatPr defaultColWidth="0" defaultRowHeight="0" customHeight="1" zeroHeight="1"/>
  <cols>
    <col min="1" max="1" width="1.75" style="102" customWidth="1"/>
    <col min="2" max="2" width="21.625" style="102" customWidth="1"/>
    <col min="3" max="3" width="15.125" style="102" customWidth="1"/>
    <col min="4" max="4" width="16.5" style="102" customWidth="1"/>
    <col min="5" max="5" width="13.875" style="102" customWidth="1"/>
    <col min="6" max="6" width="11.5" style="102" customWidth="1"/>
    <col min="7" max="7" width="3.125" style="102" customWidth="1"/>
    <col min="8" max="8" width="8.25" style="102" customWidth="1"/>
    <col min="9" max="9" width="11.375" hidden="1" customWidth="1"/>
    <col min="10" max="11" width="9.5" hidden="1" customWidth="1"/>
    <col min="12" max="12" width="13.375" hidden="1" customWidth="1"/>
    <col min="13" max="13" width="8.625" hidden="1" customWidth="1"/>
    <col min="14" max="14" width="2.5" hidden="1" customWidth="1"/>
    <col min="15" max="15" width="7.25" hidden="1" customWidth="1"/>
    <col min="16" max="16" width="8" hidden="1" customWidth="1"/>
    <col min="17" max="17" width="10" hidden="1" customWidth="1"/>
    <col min="18" max="18" width="11.375" hidden="1" customWidth="1"/>
    <col min="19" max="16384" width="9" hidden="1"/>
  </cols>
  <sheetData>
    <row r="1" spans="1:11" ht="13.5">
      <c r="A1" s="3"/>
      <c r="B1" s="4"/>
      <c r="C1" s="3"/>
      <c r="D1" s="3"/>
      <c r="E1" s="3"/>
      <c r="F1" s="3"/>
      <c r="G1" s="3"/>
      <c r="H1" s="3"/>
    </row>
    <row r="2" spans="1:11" ht="21.75" customHeight="1">
      <c r="A2" s="3"/>
      <c r="B2" s="4"/>
      <c r="C2" s="3"/>
      <c r="D2" s="3"/>
      <c r="E2" s="3"/>
      <c r="F2" s="3"/>
      <c r="G2" s="3"/>
      <c r="H2" s="3"/>
    </row>
    <row r="3" spans="1:11" ht="21.75" customHeight="1">
      <c r="A3" s="3"/>
      <c r="B3" s="4"/>
      <c r="C3" s="3"/>
      <c r="D3" s="3"/>
      <c r="E3" s="3"/>
      <c r="F3" s="3"/>
      <c r="G3" s="3"/>
      <c r="H3" s="3"/>
      <c r="I3" s="1">
        <v>2</v>
      </c>
      <c r="J3" s="1" t="str">
        <f>IF(I3=2,J4,IF(I3=0,J5,IF(I3=3,J6,IF(I3=4,J7,""))))</f>
        <v>NC</v>
      </c>
      <c r="K3" s="1" t="str">
        <f>IF(I3=2,K4,IF(I3=0,K5,IF(I3=3,K6,IF(I3=4,K7,""))))</f>
        <v>CASBEE-京都-建築(新築)2018年版</v>
      </c>
    </row>
    <row r="4" spans="1:11" ht="25.5">
      <c r="A4" s="3"/>
      <c r="B4" s="5" t="s">
        <v>3072</v>
      </c>
      <c r="C4" s="6"/>
      <c r="D4" s="6"/>
      <c r="E4" s="6"/>
      <c r="F4" s="7"/>
      <c r="G4" s="3"/>
      <c r="H4" s="3"/>
      <c r="I4" s="2445"/>
      <c r="J4" s="2445" t="s">
        <v>3306</v>
      </c>
      <c r="K4" s="2445" t="s">
        <v>3314</v>
      </c>
    </row>
    <row r="5" spans="1:11" ht="13.5">
      <c r="A5" s="8"/>
      <c r="B5" s="9" t="s">
        <v>375</v>
      </c>
      <c r="C5" s="10" t="s">
        <v>3313</v>
      </c>
      <c r="D5" s="10"/>
      <c r="E5" s="3"/>
      <c r="F5" s="3"/>
      <c r="G5" s="3"/>
      <c r="H5" s="3"/>
      <c r="I5" s="2445"/>
      <c r="J5" s="2445" t="s">
        <v>3307</v>
      </c>
      <c r="K5" s="2445" t="s">
        <v>3312</v>
      </c>
    </row>
    <row r="6" spans="1:11" ht="13.5">
      <c r="A6" s="8"/>
      <c r="B6" s="12" t="s">
        <v>1770</v>
      </c>
      <c r="C6" s="2613" t="str">
        <f>K3</f>
        <v>CASBEE-京都-建築(新築)2018年版</v>
      </c>
      <c r="D6" s="13"/>
      <c r="E6" s="3"/>
      <c r="F6" s="3"/>
      <c r="G6" s="3"/>
      <c r="H6" s="3"/>
      <c r="I6" s="2445"/>
      <c r="J6" s="2445" t="s">
        <v>3308</v>
      </c>
      <c r="K6" s="2445" t="s">
        <v>3310</v>
      </c>
    </row>
    <row r="7" spans="1:11" ht="6.75" customHeight="1" thickBot="1">
      <c r="A7" s="8"/>
      <c r="B7" s="11"/>
      <c r="C7" s="11"/>
      <c r="D7" s="11"/>
      <c r="E7" s="11"/>
      <c r="F7" s="11"/>
      <c r="G7" s="3"/>
      <c r="H7" s="3"/>
      <c r="I7" s="2445"/>
      <c r="J7" s="2445" t="s">
        <v>3309</v>
      </c>
      <c r="K7" s="2445" t="s">
        <v>3311</v>
      </c>
    </row>
    <row r="8" spans="1:11" ht="17.25" customHeight="1">
      <c r="A8" s="8"/>
      <c r="B8" s="14" t="s">
        <v>1723</v>
      </c>
      <c r="C8" s="15"/>
      <c r="D8" s="15"/>
      <c r="E8" s="15"/>
      <c r="F8" s="16"/>
      <c r="G8" s="3"/>
      <c r="H8" s="3"/>
    </row>
    <row r="9" spans="1:11" ht="13.5">
      <c r="A9" s="8"/>
      <c r="B9" s="17" t="s">
        <v>1725</v>
      </c>
      <c r="C9" s="18"/>
      <c r="D9" s="18"/>
      <c r="E9" s="18"/>
      <c r="F9" s="19"/>
      <c r="G9" s="3"/>
      <c r="H9" s="3"/>
    </row>
    <row r="10" spans="1:11" ht="13.5" hidden="1" customHeight="1">
      <c r="A10" s="8"/>
      <c r="B10" s="20"/>
      <c r="C10" s="21"/>
      <c r="D10" s="21"/>
      <c r="E10" s="21"/>
      <c r="F10" s="22"/>
      <c r="G10" s="3"/>
      <c r="H10" s="3"/>
    </row>
    <row r="11" spans="1:11" ht="13.5">
      <c r="A11" s="23"/>
      <c r="B11" s="24" t="s">
        <v>3315</v>
      </c>
      <c r="C11" s="3454" t="s">
        <v>535</v>
      </c>
      <c r="D11" s="3455"/>
      <c r="E11" s="3456"/>
      <c r="F11" s="27"/>
      <c r="G11" s="3"/>
      <c r="H11" s="3"/>
      <c r="I11" t="s">
        <v>52</v>
      </c>
      <c r="J11" t="s">
        <v>1173</v>
      </c>
      <c r="K11">
        <v>1</v>
      </c>
    </row>
    <row r="12" spans="1:11" ht="13.5">
      <c r="A12" s="23"/>
      <c r="B12" s="28" t="s">
        <v>3316</v>
      </c>
      <c r="C12" s="3454" t="s">
        <v>3302</v>
      </c>
      <c r="D12" s="3455"/>
      <c r="E12" s="3460"/>
      <c r="F12" s="31" t="s">
        <v>57</v>
      </c>
      <c r="G12" s="3"/>
      <c r="H12" s="3"/>
      <c r="I12" t="s">
        <v>53</v>
      </c>
      <c r="J12" t="s">
        <v>1088</v>
      </c>
      <c r="K12">
        <v>2</v>
      </c>
    </row>
    <row r="13" spans="1:11" ht="13.5" hidden="1">
      <c r="A13" s="23"/>
      <c r="B13" s="28"/>
      <c r="C13" s="29"/>
      <c r="D13" s="2170"/>
      <c r="E13" s="30"/>
      <c r="F13" s="31"/>
      <c r="G13" s="3"/>
      <c r="H13" s="3"/>
      <c r="I13" t="s">
        <v>54</v>
      </c>
      <c r="J13" t="s">
        <v>1722</v>
      </c>
      <c r="K13" s="2261">
        <v>3</v>
      </c>
    </row>
    <row r="14" spans="1:11" ht="13.5">
      <c r="A14" s="23"/>
      <c r="B14" s="28" t="s">
        <v>3317</v>
      </c>
      <c r="C14" s="3454" t="s">
        <v>3062</v>
      </c>
      <c r="D14" s="3455"/>
      <c r="E14" s="3460"/>
      <c r="F14" s="27"/>
      <c r="G14" s="3"/>
      <c r="H14" s="3"/>
      <c r="I14" t="s">
        <v>55</v>
      </c>
      <c r="J14" t="s">
        <v>1724</v>
      </c>
      <c r="K14" s="2261">
        <v>4</v>
      </c>
    </row>
    <row r="15" spans="1:11" ht="16.5" customHeight="1">
      <c r="A15" s="23"/>
      <c r="B15" s="28" t="s">
        <v>3318</v>
      </c>
      <c r="C15" s="32">
        <v>43191</v>
      </c>
      <c r="D15" s="26"/>
      <c r="E15" s="26"/>
      <c r="F15" s="31"/>
      <c r="G15" s="3"/>
      <c r="H15" s="3"/>
      <c r="I15" t="s">
        <v>56</v>
      </c>
      <c r="J15" t="s">
        <v>1726</v>
      </c>
      <c r="K15" s="2261">
        <v>5</v>
      </c>
    </row>
    <row r="16" spans="1:11" ht="13.5" hidden="1">
      <c r="A16" s="23"/>
      <c r="B16" s="28" t="s">
        <v>3323</v>
      </c>
      <c r="C16" s="32" t="s">
        <v>3319</v>
      </c>
      <c r="D16" s="26"/>
      <c r="E16" s="26"/>
      <c r="F16" s="33"/>
      <c r="G16" s="3"/>
      <c r="H16" s="3"/>
      <c r="I16" t="s">
        <v>57</v>
      </c>
      <c r="J16" t="s">
        <v>1727</v>
      </c>
      <c r="K16" s="2261">
        <v>6</v>
      </c>
    </row>
    <row r="17" spans="1:12" ht="13.5">
      <c r="A17" s="23"/>
      <c r="B17" s="28" t="s">
        <v>3320</v>
      </c>
      <c r="C17" s="34" t="s">
        <v>536</v>
      </c>
      <c r="D17" s="35" t="s">
        <v>537</v>
      </c>
      <c r="E17" s="35"/>
      <c r="F17" s="27"/>
      <c r="G17" s="3"/>
      <c r="H17" s="3"/>
      <c r="I17" t="s">
        <v>58</v>
      </c>
      <c r="K17" s="2261">
        <v>7</v>
      </c>
    </row>
    <row r="18" spans="1:12" ht="17.25" customHeight="1">
      <c r="A18" s="23"/>
      <c r="B18" s="28" t="s">
        <v>3321</v>
      </c>
      <c r="C18" s="34" t="s">
        <v>538</v>
      </c>
      <c r="D18" s="35" t="s">
        <v>539</v>
      </c>
      <c r="E18" s="35"/>
      <c r="F18" s="27"/>
      <c r="G18" s="3"/>
      <c r="H18" s="3"/>
      <c r="I18" t="s">
        <v>59</v>
      </c>
      <c r="K18" s="2261">
        <v>8</v>
      </c>
    </row>
    <row r="19" spans="1:12" ht="17.25" customHeight="1">
      <c r="A19" s="23"/>
      <c r="B19" s="28" t="s">
        <v>3322</v>
      </c>
      <c r="C19" s="36">
        <f>SUM(C63:C64)</f>
        <v>20320</v>
      </c>
      <c r="D19" s="35" t="s">
        <v>537</v>
      </c>
      <c r="E19" s="35"/>
      <c r="F19" s="27"/>
      <c r="G19" s="3"/>
      <c r="H19" s="3"/>
      <c r="I19" t="s">
        <v>60</v>
      </c>
      <c r="K19" s="1">
        <f>VLOOKUP(F12,I11:K18,3)</f>
        <v>6</v>
      </c>
    </row>
    <row r="20" spans="1:12" ht="17.25" customHeight="1">
      <c r="A20" s="23"/>
      <c r="B20" s="28" t="s">
        <v>3324</v>
      </c>
      <c r="C20" s="3454" t="s">
        <v>540</v>
      </c>
      <c r="D20" s="3455"/>
      <c r="E20" s="3460"/>
      <c r="F20" s="27"/>
      <c r="G20" s="3"/>
      <c r="H20" s="3"/>
    </row>
    <row r="21" spans="1:12" ht="17.25" customHeight="1">
      <c r="A21" s="23"/>
      <c r="B21" s="37"/>
      <c r="C21" s="3461" t="str">
        <f>O67</f>
        <v>事務所,集合住宅,</v>
      </c>
      <c r="D21" s="3462"/>
      <c r="E21" s="3463"/>
      <c r="F21" s="27"/>
      <c r="G21" s="3"/>
      <c r="H21" s="3"/>
    </row>
    <row r="22" spans="1:12" ht="17.25" customHeight="1">
      <c r="A22" s="23"/>
      <c r="B22" s="28" t="s">
        <v>3325</v>
      </c>
      <c r="C22" s="25" t="s">
        <v>246</v>
      </c>
      <c r="D22" s="26"/>
      <c r="E22" s="26"/>
      <c r="F22" s="27"/>
      <c r="G22" s="3"/>
      <c r="H22" s="3"/>
    </row>
    <row r="23" spans="1:12" ht="17.25" customHeight="1">
      <c r="A23" s="23"/>
      <c r="B23" s="28" t="s">
        <v>3326</v>
      </c>
      <c r="C23" s="25" t="s">
        <v>607</v>
      </c>
      <c r="D23" s="26"/>
      <c r="E23" s="26"/>
      <c r="F23" s="27"/>
      <c r="G23" s="3"/>
      <c r="H23" s="3"/>
      <c r="I23" t="s">
        <v>608</v>
      </c>
      <c r="J23" t="s">
        <v>607</v>
      </c>
      <c r="K23" t="s">
        <v>609</v>
      </c>
      <c r="L23" t="s">
        <v>610</v>
      </c>
    </row>
    <row r="24" spans="1:12" ht="17.25" hidden="1" customHeight="1" thickBot="1">
      <c r="A24" s="23"/>
      <c r="B24" s="28"/>
      <c r="C24" s="26"/>
      <c r="D24" s="35"/>
      <c r="E24" s="35"/>
      <c r="F24" s="27"/>
      <c r="G24" s="3"/>
      <c r="H24" s="3"/>
    </row>
    <row r="25" spans="1:12" ht="17.25" hidden="1" customHeight="1" thickBot="1">
      <c r="A25" s="23"/>
      <c r="B25" s="42" t="s">
        <v>3327</v>
      </c>
      <c r="C25" s="43"/>
      <c r="D25" s="43"/>
      <c r="E25" s="43"/>
      <c r="F25" s="44"/>
      <c r="G25" s="3"/>
      <c r="H25" s="3"/>
    </row>
    <row r="26" spans="1:12" ht="6.75" hidden="1" customHeight="1">
      <c r="A26" s="23"/>
      <c r="B26" s="2907" t="s">
        <v>3328</v>
      </c>
      <c r="C26" s="25" t="s">
        <v>3329</v>
      </c>
      <c r="D26" s="26"/>
      <c r="E26" s="26"/>
      <c r="F26" s="2176"/>
      <c r="G26" s="3"/>
      <c r="H26" s="3"/>
    </row>
    <row r="27" spans="1:12" ht="13.5" hidden="1">
      <c r="A27"/>
      <c r="B27" s="2907" t="s">
        <v>3330</v>
      </c>
      <c r="C27" s="3457" t="s">
        <v>3331</v>
      </c>
      <c r="D27" s="3458"/>
      <c r="E27" s="3459"/>
      <c r="F27" s="27"/>
      <c r="G27"/>
      <c r="H27"/>
    </row>
    <row r="28" spans="1:12" ht="13.5" hidden="1">
      <c r="A28"/>
      <c r="B28" s="2907" t="s">
        <v>3332</v>
      </c>
      <c r="C28" s="46">
        <v>41831</v>
      </c>
      <c r="D28" s="26"/>
      <c r="E28" s="26"/>
      <c r="F28" s="27"/>
      <c r="G28"/>
      <c r="H28"/>
    </row>
    <row r="29" spans="1:12" ht="13.5" hidden="1">
      <c r="A29"/>
      <c r="B29" s="2907" t="s">
        <v>3333</v>
      </c>
      <c r="C29" s="34" t="s">
        <v>3334</v>
      </c>
      <c r="D29" s="35" t="s">
        <v>3335</v>
      </c>
      <c r="E29" s="26"/>
      <c r="F29" s="27"/>
      <c r="G29"/>
      <c r="H29"/>
    </row>
    <row r="30" spans="1:12" ht="13.5" hidden="1">
      <c r="A30"/>
      <c r="B30" s="2907" t="s">
        <v>3336</v>
      </c>
      <c r="C30" s="25" t="s">
        <v>3337</v>
      </c>
      <c r="D30" s="26"/>
      <c r="E30" s="26"/>
      <c r="F30" s="27"/>
      <c r="G30"/>
      <c r="H30"/>
    </row>
    <row r="31" spans="1:12" ht="13.5" hidden="1">
      <c r="A31"/>
      <c r="B31" s="28"/>
      <c r="C31" s="39"/>
      <c r="D31" s="39"/>
      <c r="E31" s="39"/>
      <c r="F31" s="40"/>
      <c r="G31"/>
      <c r="H31"/>
    </row>
    <row r="32" spans="1:12" ht="13.5">
      <c r="A32"/>
      <c r="B32" s="28" t="s">
        <v>3338</v>
      </c>
      <c r="C32" s="38" t="s">
        <v>3339</v>
      </c>
      <c r="D32" s="35" t="s">
        <v>611</v>
      </c>
      <c r="E32" s="35"/>
      <c r="F32" s="27"/>
      <c r="G32" s="3360"/>
      <c r="H32" s="3360"/>
    </row>
    <row r="33" spans="1:18" ht="14.25" thickBot="1">
      <c r="A33"/>
      <c r="B33" s="28" t="s">
        <v>3340</v>
      </c>
      <c r="C33" s="38" t="s">
        <v>3334</v>
      </c>
      <c r="D33" s="35" t="s">
        <v>612</v>
      </c>
      <c r="E33" s="35"/>
      <c r="F33" s="27"/>
      <c r="G33" s="3360"/>
      <c r="H33" s="3360"/>
      <c r="I33" t="s">
        <v>3343</v>
      </c>
      <c r="J33" t="s">
        <v>3344</v>
      </c>
    </row>
    <row r="34" spans="1:18" ht="13.5" hidden="1">
      <c r="A34"/>
      <c r="B34" s="2908" t="s">
        <v>3341</v>
      </c>
      <c r="C34" s="38" t="s">
        <v>3334</v>
      </c>
      <c r="D34" s="2909" t="s">
        <v>3342</v>
      </c>
      <c r="E34" s="35"/>
      <c r="F34" s="27"/>
      <c r="G34"/>
      <c r="H34"/>
    </row>
    <row r="35" spans="1:18" ht="13.5" hidden="1">
      <c r="A35"/>
      <c r="B35" s="28"/>
      <c r="C35" s="39"/>
      <c r="D35" s="39"/>
      <c r="E35" s="39"/>
      <c r="F35" s="40"/>
      <c r="G35"/>
      <c r="H35"/>
    </row>
    <row r="36" spans="1:18" ht="13.5" hidden="1">
      <c r="A36"/>
      <c r="B36"/>
      <c r="C36"/>
      <c r="D36"/>
      <c r="E36"/>
      <c r="F36"/>
      <c r="G36"/>
      <c r="H36"/>
      <c r="I36" s="1" t="s">
        <v>614</v>
      </c>
      <c r="J36" s="1">
        <v>0</v>
      </c>
    </row>
    <row r="37" spans="1:18" ht="14.25" hidden="1" thickBot="1">
      <c r="A37"/>
      <c r="B37"/>
      <c r="C37"/>
      <c r="D37"/>
      <c r="E37"/>
      <c r="F37"/>
      <c r="G37"/>
      <c r="H37"/>
      <c r="I37" s="1" t="s">
        <v>619</v>
      </c>
      <c r="J37" s="1">
        <v>1</v>
      </c>
    </row>
    <row r="38" spans="1:18" ht="17.25" customHeight="1" thickBot="1">
      <c r="A38" s="41"/>
      <c r="B38" s="42" t="s">
        <v>613</v>
      </c>
      <c r="C38" s="43"/>
      <c r="D38" s="43"/>
      <c r="E38" s="43"/>
      <c r="F38" s="44"/>
      <c r="G38" s="3"/>
      <c r="H38" s="3"/>
      <c r="I38" s="1" t="s">
        <v>618</v>
      </c>
      <c r="J38" s="1">
        <v>2</v>
      </c>
      <c r="L38" s="1" t="s">
        <v>615</v>
      </c>
      <c r="M38" s="1" t="s">
        <v>616</v>
      </c>
    </row>
    <row r="39" spans="1:18" ht="16.5" customHeight="1">
      <c r="A39" s="41"/>
      <c r="B39" s="45" t="s">
        <v>617</v>
      </c>
      <c r="C39" s="46">
        <v>43191</v>
      </c>
      <c r="D39" s="26"/>
      <c r="E39" s="2177" t="s">
        <v>618</v>
      </c>
      <c r="F39" s="2176"/>
      <c r="G39" s="3"/>
      <c r="H39" s="3"/>
      <c r="I39" s="1" t="s">
        <v>347</v>
      </c>
      <c r="J39" s="1">
        <v>2</v>
      </c>
      <c r="L39" s="1" t="s">
        <v>619</v>
      </c>
      <c r="M39" s="1" t="s">
        <v>342</v>
      </c>
    </row>
    <row r="40" spans="1:18" ht="16.5" customHeight="1">
      <c r="A40" s="41"/>
      <c r="B40" s="45" t="s">
        <v>343</v>
      </c>
      <c r="C40" s="25" t="s">
        <v>344</v>
      </c>
      <c r="D40" s="26"/>
      <c r="E40" s="26"/>
      <c r="F40" s="27"/>
      <c r="G40" s="3"/>
      <c r="H40" s="3"/>
      <c r="I40" s="1" t="s">
        <v>3345</v>
      </c>
      <c r="J40" s="1">
        <v>3</v>
      </c>
      <c r="L40" s="1" t="s">
        <v>618</v>
      </c>
      <c r="M40" s="1" t="s">
        <v>345</v>
      </c>
    </row>
    <row r="41" spans="1:18" ht="16.5" customHeight="1">
      <c r="A41" s="47"/>
      <c r="B41" s="45" t="s">
        <v>346</v>
      </c>
      <c r="C41" s="46">
        <v>43191</v>
      </c>
      <c r="D41" s="26"/>
      <c r="E41" s="26"/>
      <c r="F41" s="27"/>
      <c r="G41" s="3"/>
      <c r="H41" s="3"/>
      <c r="I41" s="1128" t="s">
        <v>3346</v>
      </c>
      <c r="J41" s="1128">
        <v>4</v>
      </c>
      <c r="L41" s="1" t="s">
        <v>347</v>
      </c>
      <c r="M41" s="1"/>
    </row>
    <row r="42" spans="1:18" ht="16.5" customHeight="1">
      <c r="A42" s="47"/>
      <c r="B42" s="45" t="s">
        <v>348</v>
      </c>
      <c r="C42" s="25" t="s">
        <v>344</v>
      </c>
      <c r="D42" s="26"/>
      <c r="E42" s="26"/>
      <c r="F42" s="27"/>
      <c r="G42" s="3"/>
      <c r="H42" s="3"/>
    </row>
    <row r="43" spans="1:18" ht="17.25" customHeight="1" thickBot="1">
      <c r="A43" s="47"/>
      <c r="B43" s="48" t="s">
        <v>349</v>
      </c>
      <c r="C43" s="49" t="s">
        <v>350</v>
      </c>
      <c r="D43" s="50" t="str">
        <f>IF(C43=I43,L43,L44)</f>
        <v>→LCCO2算定条件シート（標準計算）を入力</v>
      </c>
      <c r="E43" s="26"/>
      <c r="F43" s="51"/>
      <c r="G43" s="3"/>
      <c r="H43" s="3"/>
      <c r="I43" t="s">
        <v>350</v>
      </c>
      <c r="L43" t="s">
        <v>351</v>
      </c>
    </row>
    <row r="44" spans="1:18" ht="9.75" customHeight="1" thickBot="1">
      <c r="A44" s="52"/>
      <c r="B44" s="53"/>
      <c r="C44" s="53"/>
      <c r="D44" s="53"/>
      <c r="E44" s="53"/>
      <c r="F44" s="53"/>
      <c r="G44" s="3"/>
      <c r="H44" s="3"/>
      <c r="I44" t="s">
        <v>352</v>
      </c>
      <c r="L44" t="s">
        <v>353</v>
      </c>
    </row>
    <row r="45" spans="1:18" ht="13.5">
      <c r="A45" s="52"/>
      <c r="B45" s="54" t="s">
        <v>354</v>
      </c>
      <c r="C45" s="55"/>
      <c r="D45" s="55"/>
      <c r="E45" s="55"/>
      <c r="F45" s="56"/>
      <c r="G45" s="3"/>
      <c r="H45" s="3"/>
    </row>
    <row r="46" spans="1:18" ht="14.25" thickBot="1">
      <c r="A46" s="52"/>
      <c r="B46" s="20" t="s">
        <v>355</v>
      </c>
      <c r="C46" s="57"/>
      <c r="D46" s="58"/>
      <c r="E46" s="58"/>
      <c r="F46" s="59"/>
      <c r="G46" s="3"/>
      <c r="H46" s="3"/>
      <c r="J46" t="s">
        <v>541</v>
      </c>
      <c r="K46" t="s">
        <v>1115</v>
      </c>
      <c r="L46" t="s">
        <v>542</v>
      </c>
    </row>
    <row r="47" spans="1:18" ht="13.5">
      <c r="A47" s="52"/>
      <c r="B47" s="60" t="s">
        <v>543</v>
      </c>
      <c r="C47" s="36">
        <f>E47+E48</f>
        <v>20000</v>
      </c>
      <c r="D47" s="35" t="s">
        <v>1941</v>
      </c>
      <c r="E47" s="61">
        <v>20000</v>
      </c>
      <c r="F47" s="2176" t="s">
        <v>1930</v>
      </c>
      <c r="G47" s="3"/>
      <c r="H47" s="3"/>
      <c r="I47" t="s">
        <v>356</v>
      </c>
      <c r="J47">
        <f>C47</f>
        <v>20000</v>
      </c>
      <c r="K47">
        <f>J47/$J$66</f>
        <v>0.98425196850393704</v>
      </c>
      <c r="N47">
        <f>IF(J47=0,0,RANK(J47,$J$47:$J$64))</f>
        <v>1</v>
      </c>
      <c r="O47" t="str">
        <f>IF(AND(0&lt;N47,N47&lt;4),I47&amp;",","")</f>
        <v>事務所,</v>
      </c>
      <c r="P47" s="2160" t="s">
        <v>1461</v>
      </c>
      <c r="Q47" s="2161" t="s">
        <v>356</v>
      </c>
      <c r="R47" s="2178">
        <f>E47</f>
        <v>20000</v>
      </c>
    </row>
    <row r="48" spans="1:18" ht="13.5">
      <c r="A48" s="52"/>
      <c r="B48" s="62"/>
      <c r="C48" s="35"/>
      <c r="D48" s="2175" t="s">
        <v>1933</v>
      </c>
      <c r="E48" s="61"/>
      <c r="F48" s="2176" t="s">
        <v>1937</v>
      </c>
      <c r="G48" s="3"/>
      <c r="H48" s="3"/>
      <c r="N48">
        <f t="shared" ref="N48:N64" si="0">IF(J48=0,0,RANK(J48,$J$47:$J$64))</f>
        <v>0</v>
      </c>
      <c r="O48" t="str">
        <f t="shared" ref="O48:O64" si="1">IF(AND(0&lt;N48,N48&lt;4),I48&amp;",","")</f>
        <v/>
      </c>
      <c r="P48" s="2162"/>
      <c r="Q48" s="2161" t="s">
        <v>1891</v>
      </c>
      <c r="R48" s="2178">
        <f t="shared" ref="R48:R59" si="2">E48</f>
        <v>0</v>
      </c>
    </row>
    <row r="49" spans="1:18" ht="13.5">
      <c r="A49" s="52"/>
      <c r="B49" s="62" t="s">
        <v>357</v>
      </c>
      <c r="C49" s="36">
        <f>SUM(E49:E53)</f>
        <v>0</v>
      </c>
      <c r="D49" s="35" t="s">
        <v>1940</v>
      </c>
      <c r="E49" s="61"/>
      <c r="F49" s="2176" t="s">
        <v>1937</v>
      </c>
      <c r="G49" s="3"/>
      <c r="H49" s="3"/>
      <c r="I49" t="s">
        <v>358</v>
      </c>
      <c r="J49" s="2246">
        <f>C49</f>
        <v>0</v>
      </c>
      <c r="K49">
        <f>J49/$J$66</f>
        <v>0</v>
      </c>
      <c r="N49">
        <f t="shared" si="0"/>
        <v>0</v>
      </c>
      <c r="O49" t="str">
        <f t="shared" si="1"/>
        <v/>
      </c>
      <c r="P49" s="2164" t="s">
        <v>1895</v>
      </c>
      <c r="Q49" s="2161" t="s">
        <v>1896</v>
      </c>
      <c r="R49" s="2178">
        <f t="shared" si="2"/>
        <v>0</v>
      </c>
    </row>
    <row r="50" spans="1:18" ht="13.5">
      <c r="A50" s="52"/>
      <c r="B50" s="62"/>
      <c r="C50" s="35"/>
      <c r="D50" s="2175" t="s">
        <v>3184</v>
      </c>
      <c r="E50" s="61"/>
      <c r="F50" s="2176" t="s">
        <v>1937</v>
      </c>
      <c r="G50" s="3"/>
      <c r="H50" s="3"/>
      <c r="J50" s="2247"/>
      <c r="N50">
        <f t="shared" si="0"/>
        <v>0</v>
      </c>
      <c r="O50" t="str">
        <f t="shared" si="1"/>
        <v/>
      </c>
      <c r="P50" s="2164"/>
      <c r="Q50" s="2161" t="s">
        <v>1111</v>
      </c>
      <c r="R50" s="2178">
        <f t="shared" si="2"/>
        <v>0</v>
      </c>
    </row>
    <row r="51" spans="1:18" ht="13.5">
      <c r="A51" s="52"/>
      <c r="B51" s="62"/>
      <c r="C51" s="35"/>
      <c r="D51" s="2175" t="s">
        <v>1938</v>
      </c>
      <c r="E51" s="61"/>
      <c r="F51" s="2176" t="s">
        <v>1937</v>
      </c>
      <c r="G51" s="3"/>
      <c r="H51" s="3"/>
      <c r="N51">
        <f t="shared" si="0"/>
        <v>0</v>
      </c>
      <c r="O51" t="str">
        <f t="shared" si="1"/>
        <v/>
      </c>
      <c r="P51" s="2164"/>
      <c r="Q51" s="2161" t="s">
        <v>1112</v>
      </c>
      <c r="R51" s="2178">
        <f t="shared" si="2"/>
        <v>0</v>
      </c>
    </row>
    <row r="52" spans="1:18" ht="13.5">
      <c r="A52" s="52"/>
      <c r="B52" s="62"/>
      <c r="C52" s="35"/>
      <c r="D52" s="2175" t="s">
        <v>1931</v>
      </c>
      <c r="E52" s="61"/>
      <c r="F52" s="2176" t="s">
        <v>1937</v>
      </c>
      <c r="G52" s="3"/>
      <c r="H52" s="3"/>
      <c r="N52">
        <f t="shared" si="0"/>
        <v>0</v>
      </c>
      <c r="O52" t="str">
        <f t="shared" si="1"/>
        <v/>
      </c>
      <c r="P52" s="2164"/>
      <c r="Q52" s="2161" t="s">
        <v>1899</v>
      </c>
      <c r="R52" s="2178">
        <f t="shared" si="2"/>
        <v>0</v>
      </c>
    </row>
    <row r="53" spans="1:18" ht="13.5">
      <c r="A53" s="52"/>
      <c r="B53" s="62"/>
      <c r="C53" s="35"/>
      <c r="D53" s="2175" t="s">
        <v>1932</v>
      </c>
      <c r="E53" s="61"/>
      <c r="F53" s="2176" t="s">
        <v>1937</v>
      </c>
      <c r="G53" s="3"/>
      <c r="H53" s="3"/>
      <c r="N53">
        <f t="shared" si="0"/>
        <v>0</v>
      </c>
      <c r="O53" t="str">
        <f t="shared" si="1"/>
        <v/>
      </c>
      <c r="P53" s="2162"/>
      <c r="Q53" s="2161" t="s">
        <v>1900</v>
      </c>
      <c r="R53" s="2178">
        <f t="shared" si="2"/>
        <v>0</v>
      </c>
    </row>
    <row r="54" spans="1:18" ht="13.5">
      <c r="A54" s="52"/>
      <c r="B54" s="62" t="s">
        <v>359</v>
      </c>
      <c r="C54" s="36">
        <f>E54+E55</f>
        <v>0</v>
      </c>
      <c r="D54" s="35" t="s">
        <v>1942</v>
      </c>
      <c r="E54" s="61"/>
      <c r="F54" s="2176" t="s">
        <v>1937</v>
      </c>
      <c r="G54" s="3"/>
      <c r="H54" s="3"/>
      <c r="I54" t="s">
        <v>360</v>
      </c>
      <c r="J54" s="2246">
        <f>C54</f>
        <v>0</v>
      </c>
      <c r="K54">
        <f>J54/$J$66</f>
        <v>0</v>
      </c>
      <c r="N54">
        <f t="shared" si="0"/>
        <v>0</v>
      </c>
      <c r="O54" t="str">
        <f t="shared" si="1"/>
        <v/>
      </c>
      <c r="P54" s="2160" t="s">
        <v>1892</v>
      </c>
      <c r="Q54" s="2161" t="s">
        <v>1615</v>
      </c>
      <c r="R54" s="2178">
        <f t="shared" si="2"/>
        <v>0</v>
      </c>
    </row>
    <row r="55" spans="1:18" ht="13.5">
      <c r="A55" s="52"/>
      <c r="B55" s="62"/>
      <c r="C55" s="35"/>
      <c r="D55" s="2175" t="s">
        <v>1934</v>
      </c>
      <c r="E55" s="61"/>
      <c r="F55" s="2176" t="s">
        <v>1937</v>
      </c>
      <c r="G55" s="3"/>
      <c r="H55" s="3"/>
      <c r="N55">
        <f t="shared" si="0"/>
        <v>0</v>
      </c>
      <c r="O55" t="str">
        <f t="shared" si="1"/>
        <v/>
      </c>
      <c r="P55" s="2162"/>
      <c r="Q55" s="2161" t="s">
        <v>1893</v>
      </c>
      <c r="R55" s="2178">
        <f t="shared" si="2"/>
        <v>0</v>
      </c>
    </row>
    <row r="56" spans="1:18" ht="13.5">
      <c r="A56" s="52"/>
      <c r="B56" s="62" t="s">
        <v>361</v>
      </c>
      <c r="C56" s="61"/>
      <c r="D56" s="35" t="s">
        <v>544</v>
      </c>
      <c r="E56" s="35"/>
      <c r="F56" s="2176"/>
      <c r="G56" s="3"/>
      <c r="H56" s="3"/>
      <c r="I56" t="s">
        <v>362</v>
      </c>
      <c r="J56" s="2247">
        <f>C56</f>
        <v>0</v>
      </c>
      <c r="K56">
        <f>J56/$J$66</f>
        <v>0</v>
      </c>
      <c r="N56">
        <f t="shared" si="0"/>
        <v>0</v>
      </c>
      <c r="O56" t="str">
        <f t="shared" si="1"/>
        <v/>
      </c>
      <c r="P56" s="2161" t="s">
        <v>362</v>
      </c>
      <c r="Q56" s="2163"/>
      <c r="R56" s="2178">
        <f>C56</f>
        <v>0</v>
      </c>
    </row>
    <row r="57" spans="1:18" ht="13.5">
      <c r="A57" s="52"/>
      <c r="B57" s="62" t="s">
        <v>363</v>
      </c>
      <c r="C57" s="36">
        <f>E57+E58+E59</f>
        <v>0</v>
      </c>
      <c r="D57" s="35" t="s">
        <v>1943</v>
      </c>
      <c r="E57" s="61"/>
      <c r="F57" s="2176" t="s">
        <v>1937</v>
      </c>
      <c r="G57" s="3"/>
      <c r="H57" s="3"/>
      <c r="I57" t="s">
        <v>364</v>
      </c>
      <c r="J57">
        <f>C57</f>
        <v>0</v>
      </c>
      <c r="K57">
        <f>J57/$J$66</f>
        <v>0</v>
      </c>
      <c r="N57">
        <f t="shared" si="0"/>
        <v>0</v>
      </c>
      <c r="O57" t="str">
        <f t="shared" si="1"/>
        <v/>
      </c>
      <c r="P57" s="2160" t="s">
        <v>1901</v>
      </c>
      <c r="Q57" s="2161" t="s">
        <v>1902</v>
      </c>
      <c r="R57" s="2178">
        <f t="shared" si="2"/>
        <v>0</v>
      </c>
    </row>
    <row r="58" spans="1:18" ht="13.5">
      <c r="A58" s="52"/>
      <c r="B58" s="62"/>
      <c r="C58" s="35"/>
      <c r="D58" s="2175" t="s">
        <v>1935</v>
      </c>
      <c r="E58" s="61"/>
      <c r="F58" s="2176" t="s">
        <v>1937</v>
      </c>
      <c r="G58" s="3"/>
      <c r="H58" s="3"/>
      <c r="N58">
        <f t="shared" si="0"/>
        <v>0</v>
      </c>
      <c r="O58" t="str">
        <f t="shared" si="1"/>
        <v/>
      </c>
      <c r="P58" s="2164"/>
      <c r="Q58" s="2161" t="s">
        <v>1903</v>
      </c>
      <c r="R58" s="2178">
        <f t="shared" si="2"/>
        <v>0</v>
      </c>
    </row>
    <row r="59" spans="1:18" ht="13.5">
      <c r="A59" s="52"/>
      <c r="B59" s="62"/>
      <c r="C59" s="35"/>
      <c r="D59" s="2175" t="s">
        <v>1936</v>
      </c>
      <c r="E59" s="61"/>
      <c r="F59" s="2176" t="s">
        <v>1937</v>
      </c>
      <c r="G59" s="3"/>
      <c r="H59" s="3"/>
      <c r="N59">
        <f t="shared" si="0"/>
        <v>0</v>
      </c>
      <c r="O59" t="str">
        <f t="shared" si="1"/>
        <v/>
      </c>
      <c r="P59" s="2164"/>
      <c r="Q59" s="2158" t="s">
        <v>1904</v>
      </c>
      <c r="R59" s="2178">
        <f t="shared" si="2"/>
        <v>0</v>
      </c>
    </row>
    <row r="60" spans="1:18" ht="13.5">
      <c r="A60" s="52"/>
      <c r="B60" s="62" t="s">
        <v>365</v>
      </c>
      <c r="C60" s="61"/>
      <c r="D60" s="3381" t="s">
        <v>3347</v>
      </c>
      <c r="E60" s="61"/>
      <c r="F60" s="2176" t="s">
        <v>1930</v>
      </c>
      <c r="G60" s="3"/>
      <c r="H60" s="3"/>
      <c r="I60" t="s">
        <v>372</v>
      </c>
      <c r="J60">
        <f>C60</f>
        <v>0</v>
      </c>
      <c r="K60">
        <f>J60/$J$66</f>
        <v>0</v>
      </c>
      <c r="N60">
        <f t="shared" si="0"/>
        <v>0</v>
      </c>
      <c r="O60" t="str">
        <f t="shared" si="1"/>
        <v/>
      </c>
      <c r="P60" s="2161" t="s">
        <v>372</v>
      </c>
      <c r="Q60" s="2163"/>
      <c r="R60" s="2178">
        <f>C60</f>
        <v>0</v>
      </c>
    </row>
    <row r="61" spans="1:18" ht="13.5">
      <c r="A61" s="52"/>
      <c r="B61" s="62" t="s">
        <v>367</v>
      </c>
      <c r="C61" s="61"/>
      <c r="D61" s="35" t="s">
        <v>544</v>
      </c>
      <c r="E61" s="35"/>
      <c r="F61" s="2176"/>
      <c r="G61" s="3"/>
      <c r="H61" s="3"/>
      <c r="I61" t="s">
        <v>366</v>
      </c>
      <c r="J61">
        <f>C61</f>
        <v>0</v>
      </c>
      <c r="K61">
        <f>J61/$J$66</f>
        <v>0</v>
      </c>
      <c r="L61">
        <f>J61*F68</f>
        <v>0</v>
      </c>
      <c r="N61">
        <f t="shared" si="0"/>
        <v>0</v>
      </c>
      <c r="O61" t="str">
        <f t="shared" si="1"/>
        <v/>
      </c>
      <c r="P61" s="2161" t="s">
        <v>366</v>
      </c>
      <c r="Q61" s="2163"/>
      <c r="R61" s="2178">
        <f>C61</f>
        <v>0</v>
      </c>
    </row>
    <row r="62" spans="1:18" ht="13.5">
      <c r="A62" s="52"/>
      <c r="B62" s="62" t="s">
        <v>369</v>
      </c>
      <c r="C62" s="61"/>
      <c r="D62" s="35" t="s">
        <v>544</v>
      </c>
      <c r="E62" s="35"/>
      <c r="F62" s="2176"/>
      <c r="G62" s="3"/>
      <c r="H62" s="3"/>
      <c r="I62" t="s">
        <v>545</v>
      </c>
      <c r="J62">
        <f>C62</f>
        <v>0</v>
      </c>
      <c r="K62">
        <f>J62/$J$66</f>
        <v>0</v>
      </c>
      <c r="L62">
        <f>J62*F69</f>
        <v>0</v>
      </c>
      <c r="N62">
        <f t="shared" si="0"/>
        <v>0</v>
      </c>
      <c r="O62" t="str">
        <f t="shared" si="1"/>
        <v/>
      </c>
      <c r="P62" s="2161" t="s">
        <v>1894</v>
      </c>
      <c r="Q62" s="2163"/>
      <c r="R62" s="2178">
        <f>C62</f>
        <v>0</v>
      </c>
    </row>
    <row r="63" spans="1:18" ht="13.5">
      <c r="A63" s="52"/>
      <c r="B63" s="62" t="s">
        <v>1679</v>
      </c>
      <c r="C63" s="36">
        <f>SUM(C47:C62)</f>
        <v>20000</v>
      </c>
      <c r="D63" s="35" t="s">
        <v>544</v>
      </c>
      <c r="E63" s="35"/>
      <c r="F63" s="2176"/>
      <c r="G63" s="3"/>
      <c r="H63" s="3"/>
      <c r="N63">
        <f t="shared" si="0"/>
        <v>0</v>
      </c>
      <c r="O63" t="str">
        <f t="shared" si="1"/>
        <v/>
      </c>
      <c r="P63" s="2169"/>
      <c r="Q63" s="2159"/>
    </row>
    <row r="64" spans="1:18" ht="13.5">
      <c r="A64" s="52"/>
      <c r="B64" s="63" t="s">
        <v>371</v>
      </c>
      <c r="C64" s="36">
        <f>E64+E65</f>
        <v>320</v>
      </c>
      <c r="D64" s="35" t="s">
        <v>1944</v>
      </c>
      <c r="E64" s="61">
        <v>300</v>
      </c>
      <c r="F64" s="2176" t="s">
        <v>1937</v>
      </c>
      <c r="G64" s="3"/>
      <c r="H64" s="3"/>
      <c r="I64" t="s">
        <v>370</v>
      </c>
      <c r="J64">
        <f>C64</f>
        <v>320</v>
      </c>
      <c r="K64">
        <f>J64/$J$66</f>
        <v>1.5748031496062992E-2</v>
      </c>
      <c r="L64" s="2247">
        <f>E64</f>
        <v>300</v>
      </c>
      <c r="N64">
        <f t="shared" si="0"/>
        <v>2</v>
      </c>
      <c r="O64" t="str">
        <f t="shared" si="1"/>
        <v>集合住宅,</v>
      </c>
      <c r="P64" s="2" t="s">
        <v>1714</v>
      </c>
      <c r="Q64" s="2165" t="s">
        <v>1925</v>
      </c>
      <c r="R64" s="2178">
        <f>E64</f>
        <v>300</v>
      </c>
    </row>
    <row r="65" spans="1:18" ht="13.5">
      <c r="A65" s="52"/>
      <c r="B65" s="2115"/>
      <c r="C65" s="35"/>
      <c r="D65" s="2175" t="s">
        <v>1939</v>
      </c>
      <c r="E65" s="61">
        <v>20</v>
      </c>
      <c r="F65" s="2176" t="s">
        <v>1937</v>
      </c>
      <c r="G65" s="3"/>
      <c r="H65" s="3"/>
      <c r="P65" s="2166"/>
      <c r="Q65" s="2167" t="s">
        <v>376</v>
      </c>
      <c r="R65" s="2178">
        <f>E65</f>
        <v>20</v>
      </c>
    </row>
    <row r="66" spans="1:18" ht="13.5">
      <c r="A66" s="52"/>
      <c r="B66" s="2115"/>
      <c r="C66" s="35"/>
      <c r="D66" s="35"/>
      <c r="E66" s="35"/>
      <c r="F66" s="27"/>
      <c r="G66" s="3"/>
      <c r="H66" s="3"/>
      <c r="I66" t="s">
        <v>374</v>
      </c>
      <c r="J66">
        <f>SUM(J47:J64)</f>
        <v>20320</v>
      </c>
      <c r="K66">
        <f>J66/$J$66</f>
        <v>1</v>
      </c>
      <c r="L66">
        <f>SUM(L47:L64)</f>
        <v>300</v>
      </c>
      <c r="O66" t="str">
        <f>IF(MAX(N47:N63)&gt;3,"等","")</f>
        <v/>
      </c>
    </row>
    <row r="67" spans="1:18" ht="13.5">
      <c r="A67" s="52"/>
      <c r="B67" s="20" t="s">
        <v>373</v>
      </c>
      <c r="C67" s="57"/>
      <c r="D67" s="2171"/>
      <c r="E67" s="58"/>
      <c r="F67" s="59"/>
      <c r="G67" s="3"/>
      <c r="H67" s="3"/>
      <c r="O67" t="str">
        <f>O47&amp;O49&amp;O54&amp;O56&amp;O57&amp;O61&amp;O62&amp;O64&amp;O60&amp;O66</f>
        <v>事務所,集合住宅,</v>
      </c>
    </row>
    <row r="68" spans="1:18" ht="13.5">
      <c r="A68" s="52"/>
      <c r="B68" s="63" t="s">
        <v>3063</v>
      </c>
      <c r="C68" s="64"/>
      <c r="D68" s="64"/>
      <c r="E68" s="64"/>
      <c r="F68" s="65"/>
      <c r="G68" s="3"/>
      <c r="H68" s="3"/>
    </row>
    <row r="69" spans="1:18" ht="13.5">
      <c r="A69" s="52"/>
      <c r="B69" s="63" t="s">
        <v>3064</v>
      </c>
      <c r="C69" s="64"/>
      <c r="D69" s="64"/>
      <c r="E69" s="64"/>
      <c r="F69" s="65"/>
      <c r="G69" s="3"/>
      <c r="H69" s="3"/>
    </row>
    <row r="70" spans="1:18" ht="13.5">
      <c r="A70" s="52"/>
      <c r="B70" s="63" t="s">
        <v>3065</v>
      </c>
      <c r="C70" s="2114"/>
      <c r="D70" s="2114"/>
      <c r="E70" s="2114"/>
      <c r="F70" s="2116">
        <f>IF(C64=0,0,E64/C64)</f>
        <v>0.9375</v>
      </c>
      <c r="G70" s="3"/>
      <c r="H70" s="3"/>
    </row>
    <row r="71" spans="1:18" ht="14.25" thickBot="1">
      <c r="A71" s="64"/>
      <c r="B71" s="66"/>
      <c r="C71" s="67"/>
      <c r="D71" s="67"/>
      <c r="E71" s="67"/>
      <c r="F71" s="68"/>
      <c r="G71" s="64"/>
      <c r="H71" s="64"/>
    </row>
    <row r="72" spans="1:18" ht="14.25" thickBot="1">
      <c r="A72" s="64"/>
      <c r="B72" s="64"/>
      <c r="C72" s="64"/>
      <c r="D72" s="64"/>
      <c r="E72" s="64"/>
      <c r="F72" s="64"/>
      <c r="G72" s="64"/>
      <c r="H72" s="64"/>
    </row>
    <row r="73" spans="1:18" ht="14.25" thickBot="1">
      <c r="A73" s="52"/>
      <c r="B73" s="69" t="s">
        <v>1619</v>
      </c>
      <c r="C73" s="70"/>
      <c r="D73" s="70"/>
      <c r="E73" s="71"/>
      <c r="F73" s="72"/>
      <c r="G73" s="3"/>
      <c r="H73" s="3"/>
    </row>
    <row r="74" spans="1:18" ht="14.25" thickBot="1">
      <c r="A74" s="52"/>
      <c r="B74" s="73" t="s">
        <v>1620</v>
      </c>
      <c r="C74" s="74" t="s">
        <v>1621</v>
      </c>
      <c r="D74" s="2172"/>
      <c r="E74" s="75"/>
      <c r="F74" s="76"/>
      <c r="G74" s="3"/>
      <c r="H74" s="3"/>
    </row>
    <row r="75" spans="1:18" ht="13.5">
      <c r="A75" s="52"/>
      <c r="B75" s="77" t="s">
        <v>1622</v>
      </c>
      <c r="C75" s="78" t="s">
        <v>1623</v>
      </c>
      <c r="D75" s="79"/>
      <c r="E75" s="79" t="s">
        <v>1624</v>
      </c>
      <c r="F75" s="80"/>
      <c r="G75" s="3"/>
      <c r="H75" s="3"/>
    </row>
    <row r="76" spans="1:18" ht="14.25" thickBot="1">
      <c r="A76" s="23"/>
      <c r="B76" s="73" t="s">
        <v>1625</v>
      </c>
      <c r="C76" s="81" t="s">
        <v>267</v>
      </c>
      <c r="D76" s="82"/>
      <c r="E76" s="82" t="s">
        <v>268</v>
      </c>
      <c r="F76" s="83"/>
      <c r="G76" s="3"/>
      <c r="H76" s="3"/>
    </row>
    <row r="77" spans="1:18" ht="13.5">
      <c r="A77" s="52"/>
      <c r="B77" s="52"/>
      <c r="C77" s="52"/>
      <c r="D77" s="52"/>
      <c r="E77" s="52"/>
      <c r="F77" s="52"/>
      <c r="G77" s="3"/>
      <c r="H77" s="3"/>
    </row>
    <row r="78" spans="1:18" ht="13.5">
      <c r="A78" s="23"/>
      <c r="B78" s="84" t="s">
        <v>269</v>
      </c>
      <c r="C78" s="85" t="s">
        <v>270</v>
      </c>
      <c r="D78" s="2173"/>
      <c r="E78" s="86"/>
      <c r="F78" s="87"/>
      <c r="G78" s="3"/>
      <c r="H78" s="3"/>
    </row>
    <row r="79" spans="1:18" ht="13.5">
      <c r="A79" s="23"/>
      <c r="B79" s="88" t="s">
        <v>271</v>
      </c>
      <c r="C79" s="89" t="s">
        <v>3348</v>
      </c>
      <c r="D79" s="90"/>
      <c r="E79" s="90"/>
      <c r="F79" s="91"/>
      <c r="G79" s="92"/>
      <c r="H79" s="92"/>
    </row>
    <row r="80" spans="1:18" ht="13.5">
      <c r="A80" s="23"/>
      <c r="B80" s="93" t="s">
        <v>357</v>
      </c>
      <c r="C80" s="94" t="s">
        <v>3066</v>
      </c>
      <c r="D80" s="95"/>
      <c r="E80" s="95"/>
      <c r="F80" s="96"/>
      <c r="G80" s="92"/>
      <c r="H80" s="92"/>
    </row>
    <row r="81" spans="1:8" ht="13.5">
      <c r="A81" s="23"/>
      <c r="B81" s="93" t="s">
        <v>359</v>
      </c>
      <c r="C81" s="94" t="s">
        <v>3067</v>
      </c>
      <c r="D81" s="95"/>
      <c r="E81" s="95"/>
      <c r="F81" s="96"/>
      <c r="G81" s="92"/>
      <c r="H81" s="92"/>
    </row>
    <row r="82" spans="1:8" ht="13.5">
      <c r="A82" s="23"/>
      <c r="B82" s="93" t="s">
        <v>361</v>
      </c>
      <c r="C82" s="94" t="s">
        <v>3068</v>
      </c>
      <c r="D82" s="95"/>
      <c r="E82" s="95"/>
      <c r="F82" s="96"/>
      <c r="G82" s="92"/>
      <c r="H82" s="92"/>
    </row>
    <row r="83" spans="1:8" ht="13.5">
      <c r="A83" s="23"/>
      <c r="B83" s="93" t="s">
        <v>363</v>
      </c>
      <c r="C83" s="3451" t="s">
        <v>3349</v>
      </c>
      <c r="D83" s="3452"/>
      <c r="E83" s="3452"/>
      <c r="F83" s="3453"/>
      <c r="G83" s="92"/>
      <c r="H83" s="92"/>
    </row>
    <row r="84" spans="1:8" ht="13.5">
      <c r="A84" s="23"/>
      <c r="B84" s="93" t="s">
        <v>365</v>
      </c>
      <c r="C84" s="94" t="s">
        <v>3069</v>
      </c>
      <c r="D84" s="95"/>
      <c r="E84" s="97"/>
      <c r="F84" s="96"/>
      <c r="G84" s="92"/>
      <c r="H84" s="92"/>
    </row>
    <row r="85" spans="1:8" ht="13.5">
      <c r="A85" s="23"/>
      <c r="B85" s="93" t="s">
        <v>367</v>
      </c>
      <c r="C85" s="94" t="s">
        <v>3070</v>
      </c>
      <c r="D85" s="95"/>
      <c r="E85" s="95"/>
      <c r="F85" s="96"/>
      <c r="G85" s="92"/>
      <c r="H85" s="92"/>
    </row>
    <row r="86" spans="1:8" ht="13.5">
      <c r="A86" s="23"/>
      <c r="B86" s="93" t="s">
        <v>369</v>
      </c>
      <c r="C86" s="94" t="s">
        <v>3071</v>
      </c>
      <c r="D86" s="95"/>
      <c r="E86" s="95"/>
      <c r="F86" s="96"/>
      <c r="G86" s="92"/>
      <c r="H86" s="92"/>
    </row>
    <row r="87" spans="1:8" ht="13.5">
      <c r="A87" s="23"/>
      <c r="B87" s="98" t="s">
        <v>371</v>
      </c>
      <c r="C87" s="99" t="s">
        <v>546</v>
      </c>
      <c r="D87" s="2174"/>
      <c r="E87" s="100"/>
      <c r="F87" s="101"/>
      <c r="G87" s="92"/>
      <c r="H87" s="92"/>
    </row>
    <row r="88" spans="1:8" ht="13.5">
      <c r="A88" s="23"/>
      <c r="B88" s="23"/>
      <c r="C88" s="23"/>
      <c r="D88" s="23"/>
      <c r="E88" s="23"/>
      <c r="F88" s="23"/>
      <c r="G88" s="23"/>
      <c r="H88" s="23"/>
    </row>
    <row r="89" spans="1:8" ht="14.25" hidden="1" customHeight="1"/>
    <row r="90" spans="1:8" ht="13.5" hidden="1"/>
    <row r="91" spans="1:8" ht="13.5" hidden="1"/>
    <row r="92" spans="1:8" ht="13.5" hidden="1"/>
    <row r="93" spans="1:8" ht="13.5" hidden="1"/>
    <row r="94" spans="1:8" ht="13.5" hidden="1"/>
    <row r="95" spans="1:8" ht="13.5" hidden="1"/>
    <row r="96" spans="1:8" ht="13.5" hidden="1"/>
    <row r="97" ht="13.5" hidden="1"/>
    <row r="98" ht="13.5" hidden="1"/>
    <row r="99" ht="13.5" hidden="1"/>
    <row r="100" ht="13.5" hidden="1"/>
    <row r="101" ht="13.5" hidden="1"/>
    <row r="102" ht="13.5" hidden="1"/>
    <row r="103" ht="13.5" hidden="1"/>
    <row r="104" ht="13.5" hidden="1"/>
    <row r="105" ht="13.5" hidden="1"/>
    <row r="106" ht="13.5" hidden="1"/>
    <row r="107" ht="13.5" hidden="1"/>
  </sheetData>
  <sheetProtection algorithmName="SHA-512" hashValue="XmCamVil6nNpkqS8s8GLKD/yufqNjgvT/5cwW9YURcdhpXkIe2zGmiNz96dqncisWV9ta0E9TCyH6Mdkn3kAJw==" saltValue="ZuYYN0MIa1qxwKjPSTyW8g==" spinCount="100000" sheet="1" objects="1" scenarios="1"/>
  <mergeCells count="7">
    <mergeCell ref="C83:F83"/>
    <mergeCell ref="C11:E11"/>
    <mergeCell ref="C27:E27"/>
    <mergeCell ref="C12:E12"/>
    <mergeCell ref="C14:E14"/>
    <mergeCell ref="C20:E20"/>
    <mergeCell ref="C21:E21"/>
  </mergeCells>
  <phoneticPr fontId="21"/>
  <conditionalFormatting sqref="E39 F15:F16 C20:E20 C22:C23 C56 F12:F13 D12:E14 C39:C40 C11:C18 E47:E55 E64:E65 E57:E59 C60:C62">
    <cfRule type="cellIs" dxfId="364" priority="8" stopIfTrue="1" operator="equal">
      <formula>0</formula>
    </cfRule>
  </conditionalFormatting>
  <conditionalFormatting sqref="F69">
    <cfRule type="expression" dxfId="363" priority="9" stopIfTrue="1">
      <formula>AND($C$62&gt;0,F69=0)</formula>
    </cfRule>
  </conditionalFormatting>
  <conditionalFormatting sqref="F68">
    <cfRule type="expression" dxfId="362" priority="10" stopIfTrue="1">
      <formula>AND($C$61&gt;0,F68=0)</formula>
    </cfRule>
  </conditionalFormatting>
  <conditionalFormatting sqref="C32:C33">
    <cfRule type="cellIs" dxfId="361" priority="7" stopIfTrue="1" operator="equal">
      <formula>0</formula>
    </cfRule>
  </conditionalFormatting>
  <conditionalFormatting sqref="C34">
    <cfRule type="cellIs" dxfId="360" priority="6" stopIfTrue="1" operator="equal">
      <formula>0</formula>
    </cfRule>
  </conditionalFormatting>
  <conditionalFormatting sqref="C26">
    <cfRule type="cellIs" dxfId="359" priority="5" stopIfTrue="1" operator="equal">
      <formula>0</formula>
    </cfRule>
  </conditionalFormatting>
  <conditionalFormatting sqref="C27:E27">
    <cfRule type="cellIs" dxfId="358" priority="4" stopIfTrue="1" operator="equal">
      <formula>0</formula>
    </cfRule>
  </conditionalFormatting>
  <conditionalFormatting sqref="C29">
    <cfRule type="cellIs" dxfId="357" priority="3" stopIfTrue="1" operator="equal">
      <formula>0</formula>
    </cfRule>
  </conditionalFormatting>
  <conditionalFormatting sqref="C30">
    <cfRule type="cellIs" dxfId="356" priority="2" stopIfTrue="1" operator="equal">
      <formula>0</formula>
    </cfRule>
  </conditionalFormatting>
  <conditionalFormatting sqref="E60">
    <cfRule type="cellIs" dxfId="355" priority="1" stopIfTrue="1" operator="equal">
      <formula>0</formula>
    </cfRule>
  </conditionalFormatting>
  <dataValidations count="7">
    <dataValidation type="list" allowBlank="1" showInputMessage="1" showErrorMessage="1" sqref="F15:F16" xr:uid="{00000000-0002-0000-0000-000000000000}">
      <formula1>"予定,竣工"</formula1>
    </dataValidation>
    <dataValidation type="decimal" allowBlank="1" showInputMessage="1" showErrorMessage="1" sqref="F68:F69" xr:uid="{00000000-0002-0000-0000-000001000000}">
      <formula1>0</formula1>
      <formula2>1</formula2>
    </dataValidation>
    <dataValidation type="list" allowBlank="1" showInputMessage="1" showErrorMessage="1" sqref="C23" xr:uid="{00000000-0002-0000-0000-000002000000}">
      <formula1>$I$23:$L$23</formula1>
    </dataValidation>
    <dataValidation type="list" allowBlank="1" showInputMessage="1" showErrorMessage="1" sqref="C43" xr:uid="{00000000-0002-0000-0000-000003000000}">
      <formula1>$I$43:$I$44</formula1>
    </dataValidation>
    <dataValidation type="list" allowBlank="1" showInputMessage="1" showErrorMessage="1" sqref="F13" xr:uid="{00000000-0002-0000-0000-000004000000}">
      <formula1>$I$11:$I$16</formula1>
    </dataValidation>
    <dataValidation type="list" allowBlank="1" showInputMessage="1" showErrorMessage="1" sqref="F12" xr:uid="{00000000-0002-0000-0000-000005000000}">
      <formula1>$I$11:$I$18</formula1>
    </dataValidation>
    <dataValidation type="list" allowBlank="1" showInputMessage="1" showErrorMessage="1" sqref="E39" xr:uid="{00000000-0002-0000-0000-000006000000}">
      <formula1>$I$37:$I$39</formula1>
    </dataValidation>
  </dataValidations>
  <hyperlinks>
    <hyperlink ref="C75" location="結果!A1" tooltip="[結果]シート" display="●結果　" xr:uid="{00000000-0004-0000-0000-000000000000}"/>
    <hyperlink ref="C74" location="スコア!A1" tooltip="[スコア入力]シート" display="●スコア" xr:uid="{00000000-0004-0000-0000-000001000000}"/>
    <hyperlink ref="C76" location="'条件(標準)'!A1" tooltip="[条件（標準）]シート" display="●標準計算" xr:uid="{00000000-0004-0000-0000-000002000000}"/>
    <hyperlink ref="E76" location="'条件(個別)'!A1" tooltip="[条件（個別 ）]シート" display="●個別計算" xr:uid="{00000000-0004-0000-0000-000003000000}"/>
    <hyperlink ref="E75" location="CO2計算!A1" tooltip="[CO2計算]シート" display="●LCCO2計算" xr:uid="{00000000-0004-0000-0000-000004000000}"/>
  </hyperlinks>
  <printOptions horizontalCentered="1"/>
  <pageMargins left="0.59055118110236227" right="0.59055118110236227" top="0.78740157480314965" bottom="0.59055118110236227" header="0.51181102362204722" footer="0.51181102362204722"/>
  <pageSetup paperSize="9" scale="97"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IV157"/>
  <sheetViews>
    <sheetView showGridLines="0" topLeftCell="A134" zoomScaleNormal="100" zoomScaleSheetLayoutView="100" workbookViewId="0">
      <selection activeCell="F142" sqref="F142"/>
    </sheetView>
  </sheetViews>
  <sheetFormatPr defaultColWidth="0" defaultRowHeight="13.5" zeroHeight="1"/>
  <cols>
    <col min="1" max="1" width="2.125" customWidth="1"/>
    <col min="2" max="2" width="2.125" hidden="1" customWidth="1"/>
    <col min="3" max="3" width="6" hidden="1" customWidth="1"/>
    <col min="4" max="4" width="5.25" style="2314" customWidth="1"/>
    <col min="5" max="5" width="1.75" style="2037" customWidth="1"/>
    <col min="6" max="6" width="11.625" style="2037" customWidth="1"/>
    <col min="7" max="14" width="12.625" style="2037" customWidth="1"/>
    <col min="15" max="15" width="12.75" style="2037" customWidth="1"/>
    <col min="16" max="16" width="1.625" customWidth="1"/>
    <col min="17" max="18" width="14.125" hidden="1" customWidth="1"/>
    <col min="19" max="19" width="3.375" hidden="1" customWidth="1"/>
    <col min="20" max="20" width="10.25" hidden="1" customWidth="1"/>
    <col min="21" max="35" width="11.375" hidden="1" customWidth="1"/>
    <col min="36" max="16384" width="10.75" hidden="1"/>
  </cols>
  <sheetData>
    <row r="1" spans="2:21" ht="15.75">
      <c r="D1" s="1307"/>
      <c r="E1" s="1308"/>
      <c r="F1" s="1308"/>
      <c r="G1" s="1308"/>
      <c r="H1" s="1308"/>
      <c r="I1" s="1308"/>
      <c r="J1" s="1309"/>
      <c r="K1" s="1309"/>
      <c r="L1" s="1309"/>
      <c r="M1" s="887" t="s">
        <v>2215</v>
      </c>
      <c r="N1" s="3671" t="str">
        <f>メイン!C11</f>
        <v>○○ビル</v>
      </c>
      <c r="O1" s="3671"/>
      <c r="R1" t="s">
        <v>1100</v>
      </c>
    </row>
    <row r="2" spans="2:21" ht="8.25" customHeight="1" thickBot="1">
      <c r="D2" s="888"/>
      <c r="E2" s="546"/>
      <c r="F2" s="546"/>
      <c r="G2" s="546"/>
      <c r="H2" s="546"/>
      <c r="I2" s="546"/>
      <c r="J2" s="889"/>
      <c r="K2" s="889"/>
      <c r="L2" s="889"/>
      <c r="M2" s="889"/>
      <c r="N2" s="889"/>
      <c r="O2" s="889"/>
    </row>
    <row r="3" spans="2:21" ht="18.75" thickBot="1">
      <c r="D3" s="1372" t="s">
        <v>1822</v>
      </c>
      <c r="E3" s="546"/>
      <c r="F3" s="546"/>
      <c r="G3" s="546"/>
      <c r="H3" s="891"/>
      <c r="I3" s="892" t="s">
        <v>2543</v>
      </c>
      <c r="J3" s="1309"/>
      <c r="K3" s="1309"/>
      <c r="L3" s="889"/>
      <c r="M3" s="889"/>
      <c r="N3" s="889"/>
      <c r="O3" s="1310" t="str">
        <f>IF(メイン!E39=0,"",メイン!E39)</f>
        <v>実施設計段階</v>
      </c>
      <c r="R3" t="s">
        <v>1118</v>
      </c>
      <c r="S3" t="s">
        <v>1607</v>
      </c>
      <c r="T3" s="2445" t="s">
        <v>3867</v>
      </c>
      <c r="U3" t="str">
        <f>メイン!I37</f>
        <v>基本設計段階</v>
      </c>
    </row>
    <row r="4" spans="2:21" ht="6" customHeight="1">
      <c r="D4" s="888"/>
      <c r="E4" s="546"/>
      <c r="F4" s="546"/>
      <c r="G4" s="546"/>
      <c r="H4" s="546"/>
      <c r="I4" s="546"/>
      <c r="J4" s="889"/>
      <c r="K4" s="889"/>
      <c r="L4" s="889"/>
      <c r="M4" s="893"/>
      <c r="N4" s="889"/>
      <c r="O4" s="889"/>
      <c r="T4" s="2445" t="s">
        <v>3868</v>
      </c>
      <c r="U4" t="str">
        <f>メイン!I38</f>
        <v>実施設計段階</v>
      </c>
    </row>
    <row r="5" spans="2:21" ht="14.25" customHeight="1">
      <c r="D5" s="888"/>
      <c r="E5" s="560"/>
      <c r="F5" s="560"/>
      <c r="G5" s="560"/>
      <c r="H5" s="560"/>
      <c r="I5" s="560"/>
      <c r="J5" s="889"/>
      <c r="K5" s="889"/>
      <c r="L5" s="893"/>
      <c r="M5" s="893"/>
      <c r="N5" s="889"/>
      <c r="O5" s="889"/>
      <c r="U5" t="str">
        <f>メイン!I39</f>
        <v>竣工段階</v>
      </c>
    </row>
    <row r="6" spans="2:21" ht="15.75">
      <c r="D6" s="1311">
        <v>1</v>
      </c>
      <c r="E6" s="1123" t="s">
        <v>1792</v>
      </c>
      <c r="F6" s="1123"/>
      <c r="G6" s="560"/>
      <c r="H6" s="560"/>
      <c r="I6" s="560"/>
      <c r="J6" s="889" t="str">
        <f>IF(OR(F16=0,AND(K16=0,O16=0)),$R$3,"")</f>
        <v/>
      </c>
      <c r="K6" s="889"/>
      <c r="L6" s="893"/>
      <c r="M6" s="893"/>
      <c r="N6" s="889"/>
      <c r="O6" s="889"/>
    </row>
    <row r="7" spans="2:21" ht="15" hidden="1" thickBot="1">
      <c r="B7" t="s">
        <v>1096</v>
      </c>
      <c r="D7" s="2312"/>
      <c r="E7" s="1312"/>
      <c r="F7" s="1045"/>
      <c r="G7" s="904"/>
      <c r="H7" s="905"/>
      <c r="I7" s="906" t="s">
        <v>1121</v>
      </c>
      <c r="J7" s="907">
        <f>重み!M113</f>
        <v>0.3</v>
      </c>
      <c r="K7" s="1046"/>
      <c r="L7" s="1046"/>
      <c r="M7" s="1046"/>
      <c r="N7" s="1046"/>
      <c r="O7" s="1048"/>
    </row>
    <row r="8" spans="2:21" ht="15" hidden="1" thickBot="1">
      <c r="B8" s="1190">
        <v>0</v>
      </c>
      <c r="D8" s="2312"/>
      <c r="E8" s="1312"/>
      <c r="F8" s="910">
        <v>3</v>
      </c>
      <c r="G8" s="915" t="s">
        <v>1613</v>
      </c>
      <c r="H8" s="915"/>
      <c r="I8" s="915"/>
      <c r="J8" s="915"/>
      <c r="K8" s="915"/>
      <c r="L8" s="915"/>
      <c r="M8" s="1026"/>
      <c r="N8" s="1313"/>
      <c r="O8" s="916"/>
    </row>
    <row r="9" spans="2:21" ht="14.25" hidden="1">
      <c r="B9" s="1" t="s">
        <v>800</v>
      </c>
      <c r="C9" s="1">
        <v>1</v>
      </c>
      <c r="D9" s="2312"/>
      <c r="E9" s="1312"/>
      <c r="F9" s="1314"/>
      <c r="G9" s="1315" t="s">
        <v>1097</v>
      </c>
      <c r="H9" s="1315"/>
      <c r="I9" s="3982" t="s">
        <v>243</v>
      </c>
      <c r="J9" s="3983"/>
      <c r="K9" s="3982" t="s">
        <v>244</v>
      </c>
      <c r="L9" s="3983"/>
      <c r="M9" s="1316"/>
      <c r="N9" s="1317"/>
      <c r="O9" s="1277"/>
    </row>
    <row r="10" spans="2:21" ht="14.25" hidden="1">
      <c r="B10" s="1">
        <v>2</v>
      </c>
      <c r="C10" s="1">
        <v>3</v>
      </c>
      <c r="D10" s="2312"/>
      <c r="E10" s="1312"/>
      <c r="F10" s="1318" t="str">
        <f>IF(F8=$S$15,$T$10,IF(ROUNDDOWN(F8,0)=$S$10,$U$10,$T$10))</f>
        <v>　レベル　1</v>
      </c>
      <c r="G10" s="926" t="s">
        <v>1788</v>
      </c>
      <c r="H10" s="920"/>
      <c r="I10" s="926" t="s">
        <v>1788</v>
      </c>
      <c r="J10" s="920"/>
      <c r="K10" s="926" t="s">
        <v>1788</v>
      </c>
      <c r="L10" s="920"/>
      <c r="M10" s="3678"/>
      <c r="N10" s="3984"/>
      <c r="O10" s="3985"/>
      <c r="S10">
        <v>1</v>
      </c>
      <c r="T10" t="s">
        <v>2065</v>
      </c>
      <c r="U10" t="s">
        <v>1376</v>
      </c>
    </row>
    <row r="11" spans="2:21" ht="14.25" hidden="1">
      <c r="B11" s="1">
        <v>3</v>
      </c>
      <c r="C11" s="1">
        <v>3</v>
      </c>
      <c r="D11" s="2312"/>
      <c r="E11" s="1312"/>
      <c r="F11" s="1319" t="str">
        <f>IF(F8=$S$15,$T$11,IF(ROUNDDOWN(F8,0)=$S$11,$U$11,$T$11))</f>
        <v>　レベル　2</v>
      </c>
      <c r="G11" s="926" t="s">
        <v>1823</v>
      </c>
      <c r="H11" s="927"/>
      <c r="I11" s="926" t="s">
        <v>1823</v>
      </c>
      <c r="J11" s="927"/>
      <c r="K11" s="926" t="s">
        <v>1823</v>
      </c>
      <c r="L11" s="927"/>
      <c r="M11" s="3682"/>
      <c r="N11" s="3986"/>
      <c r="O11" s="3987"/>
      <c r="S11">
        <v>2</v>
      </c>
      <c r="T11" t="s">
        <v>1101</v>
      </c>
      <c r="U11" t="s">
        <v>1102</v>
      </c>
    </row>
    <row r="12" spans="2:21" ht="14.25" hidden="1">
      <c r="B12" s="1">
        <v>4</v>
      </c>
      <c r="C12" s="1">
        <v>4</v>
      </c>
      <c r="D12" s="2312"/>
      <c r="E12" s="1312"/>
      <c r="F12" s="1319" t="str">
        <f>IF(F8=$S$15,$T$12,IF(ROUNDDOWN(F8,0)=$S$12,$U$12,$T$12))</f>
        <v>■レベル　3</v>
      </c>
      <c r="G12" s="3682" t="s">
        <v>2937</v>
      </c>
      <c r="H12" s="3973"/>
      <c r="I12" s="3682" t="s">
        <v>2938</v>
      </c>
      <c r="J12" s="3973"/>
      <c r="K12" s="3682" t="s">
        <v>2939</v>
      </c>
      <c r="L12" s="3973"/>
      <c r="M12" s="3682"/>
      <c r="N12" s="3986"/>
      <c r="O12" s="3987"/>
      <c r="S12">
        <v>3</v>
      </c>
      <c r="T12" t="s">
        <v>1107</v>
      </c>
      <c r="U12" t="s">
        <v>1108</v>
      </c>
    </row>
    <row r="13" spans="2:21" ht="14.25" hidden="1">
      <c r="B13" s="1">
        <v>5</v>
      </c>
      <c r="C13" s="1">
        <v>5</v>
      </c>
      <c r="D13" s="2312"/>
      <c r="E13" s="1312"/>
      <c r="F13" s="1319" t="str">
        <f>IF(F8=$S$15,$T$13,IF(ROUNDDOWN(F8,0)=$S$13,$U$13,$T$13))</f>
        <v>　レベル　4</v>
      </c>
      <c r="G13" s="3682" t="s">
        <v>2940</v>
      </c>
      <c r="H13" s="3973"/>
      <c r="I13" s="3682" t="s">
        <v>2941</v>
      </c>
      <c r="J13" s="3973"/>
      <c r="K13" s="3682" t="s">
        <v>2942</v>
      </c>
      <c r="L13" s="3973"/>
      <c r="M13" s="3682"/>
      <c r="N13" s="3699"/>
      <c r="O13" s="3726"/>
      <c r="S13">
        <v>4</v>
      </c>
      <c r="T13" t="s">
        <v>994</v>
      </c>
      <c r="U13" t="s">
        <v>995</v>
      </c>
    </row>
    <row r="14" spans="2:21" ht="14.25" hidden="1">
      <c r="B14" s="940">
        <v>0</v>
      </c>
      <c r="C14" s="940">
        <v>0</v>
      </c>
      <c r="D14" s="2312"/>
      <c r="E14" s="1312"/>
      <c r="F14" s="1320" t="str">
        <f>IF(F8=$S$15,$T$14,IF(ROUNDDOWN(F8,0)=$S$14,$U$14,$T$14))</f>
        <v>　レベル　5</v>
      </c>
      <c r="G14" s="3682" t="s">
        <v>2943</v>
      </c>
      <c r="H14" s="3973"/>
      <c r="I14" s="3682" t="s">
        <v>2943</v>
      </c>
      <c r="J14" s="3973"/>
      <c r="K14" s="3682" t="s">
        <v>2944</v>
      </c>
      <c r="L14" s="3973"/>
      <c r="M14" s="3680"/>
      <c r="N14" s="4011"/>
      <c r="O14" s="4012"/>
      <c r="S14">
        <v>5</v>
      </c>
      <c r="T14" t="s">
        <v>1001</v>
      </c>
      <c r="U14" t="s">
        <v>1002</v>
      </c>
    </row>
    <row r="15" spans="2:21" ht="21.75" customHeight="1">
      <c r="D15" s="2312"/>
      <c r="E15" s="1312"/>
      <c r="F15" s="2155" t="s">
        <v>2127</v>
      </c>
      <c r="G15" s="2118"/>
      <c r="H15" s="905"/>
      <c r="I15" s="906" t="s">
        <v>1121</v>
      </c>
      <c r="J15" s="907">
        <f>重み!M123</f>
        <v>0.2</v>
      </c>
      <c r="K15" s="1046"/>
      <c r="L15" s="1046"/>
      <c r="M15" s="1046"/>
      <c r="N15" s="1046"/>
      <c r="O15" s="1048"/>
      <c r="S15">
        <v>0</v>
      </c>
      <c r="T15" t="s">
        <v>1377</v>
      </c>
      <c r="U15" t="s">
        <v>1377</v>
      </c>
    </row>
    <row r="16" spans="2:21" ht="15">
      <c r="D16" s="2313"/>
      <c r="E16" s="1308"/>
      <c r="F16" s="3969">
        <f>IF(H23=$T$4,F23,ROUNDDOWN(計画書!H18,1))</f>
        <v>1</v>
      </c>
      <c r="G16" s="3971">
        <f>計画書!J15</f>
        <v>1</v>
      </c>
      <c r="H16" s="915" t="s">
        <v>1824</v>
      </c>
      <c r="I16" s="915"/>
      <c r="J16" s="915"/>
      <c r="K16" s="1144">
        <f>メイン!J66-メイン!J60-O16</f>
        <v>20000</v>
      </c>
      <c r="L16" s="3971">
        <f>計画書!J16</f>
        <v>3</v>
      </c>
      <c r="M16" s="915"/>
      <c r="N16" s="1313"/>
      <c r="O16" s="1144">
        <f>メイン!C64</f>
        <v>320</v>
      </c>
    </row>
    <row r="17" spans="2:256" ht="15.75" customHeight="1">
      <c r="D17" s="2313"/>
      <c r="E17" s="1308"/>
      <c r="F17" s="3970"/>
      <c r="G17" s="3972"/>
      <c r="H17" s="1324" t="s">
        <v>2044</v>
      </c>
      <c r="I17" s="1324"/>
      <c r="J17" s="1026" t="s">
        <v>59</v>
      </c>
      <c r="K17" s="916"/>
      <c r="L17" s="3972"/>
      <c r="M17" s="3056" t="s">
        <v>1556</v>
      </c>
      <c r="N17" s="3057"/>
      <c r="O17" s="3058"/>
    </row>
    <row r="18" spans="2:256" ht="30.75" customHeight="1">
      <c r="B18" s="1">
        <v>1</v>
      </c>
      <c r="C18" s="1">
        <v>1</v>
      </c>
      <c r="D18" s="2313"/>
      <c r="E18" s="1308"/>
      <c r="F18" s="1318" t="str">
        <f>IF(F16=$S$15,$T$10,IF(ROUNDDOWN(F16,0)=$S$10,$U$10,$T$10))</f>
        <v>■レベル　1</v>
      </c>
      <c r="G18" s="1318" t="str">
        <f>IF(G16=$S$15,$T$10,IF(ROUNDDOWN(G16,0)=$S$10,$U$10,$T$10))</f>
        <v>■レベル　1</v>
      </c>
      <c r="H18" s="3974" t="s">
        <v>3874</v>
      </c>
      <c r="I18" s="3975"/>
      <c r="J18" s="3974" t="s">
        <v>3875</v>
      </c>
      <c r="K18" s="3975"/>
      <c r="L18" s="3053" t="str">
        <f>IF(L16=$S$15,$T$10,IF(ROUNDDOWN(L16,0)=$S$10,$U$10,$T$10))</f>
        <v>　レベル　1</v>
      </c>
      <c r="M18" s="3759" t="s">
        <v>3869</v>
      </c>
      <c r="N18" s="3863"/>
      <c r="O18" s="3864"/>
    </row>
    <row r="19" spans="2:256" ht="30.75" customHeight="1">
      <c r="B19" s="1">
        <v>2</v>
      </c>
      <c r="C19" s="1">
        <v>2</v>
      </c>
      <c r="D19" s="2313"/>
      <c r="E19" s="1308"/>
      <c r="F19" s="1319" t="str">
        <f>IF(F16=$S$15,$T$11,IF(ROUNDDOWN(F16,0)=$S$11,$U$11,$T$11))</f>
        <v>　レベル　2</v>
      </c>
      <c r="G19" s="1319" t="str">
        <f>IF(G16=$S$15,$T$11,IF(ROUNDDOWN(G16,0)=$S$11,$U$11,$T$11))</f>
        <v>　レベル　2</v>
      </c>
      <c r="H19" s="3976"/>
      <c r="I19" s="3977"/>
      <c r="J19" s="3976"/>
      <c r="K19" s="3977"/>
      <c r="L19" s="3054" t="str">
        <f>IF(L16=$S$15,$T$11,IF(ROUNDDOWN(L16,0)=$S$11,$U$11,$T$11))</f>
        <v>　レベル　2</v>
      </c>
      <c r="M19" s="3754" t="s">
        <v>3870</v>
      </c>
      <c r="N19" s="3980"/>
      <c r="O19" s="3981"/>
    </row>
    <row r="20" spans="2:256" ht="30.75" customHeight="1">
      <c r="B20" s="1">
        <v>3</v>
      </c>
      <c r="C20" s="1">
        <v>3</v>
      </c>
      <c r="D20" s="2313"/>
      <c r="E20" s="1308"/>
      <c r="F20" s="1319" t="str">
        <f>IF(F16=$S$15,$T$12,IF(ROUNDDOWN(F16,0)=$S$12,$U$12,$T$12))</f>
        <v>　レベル　3</v>
      </c>
      <c r="G20" s="1319" t="str">
        <f>IF(G16=$S$15,$T$12,IF(ROUNDDOWN(G16,0)=$S$12,$U$12,$T$12))</f>
        <v>　レベル　3</v>
      </c>
      <c r="H20" s="3976"/>
      <c r="I20" s="3977"/>
      <c r="J20" s="3976"/>
      <c r="K20" s="3977"/>
      <c r="L20" s="3054" t="str">
        <f>IF(L16=$S$15,$T$12,IF(ROUNDDOWN(L16,0)=$S$12,$U$12,$T$12))</f>
        <v>■レベル　3</v>
      </c>
      <c r="M20" s="3754" t="s">
        <v>3871</v>
      </c>
      <c r="N20" s="3839"/>
      <c r="O20" s="3840"/>
    </row>
    <row r="21" spans="2:256" ht="30.75" customHeight="1">
      <c r="B21" s="1">
        <v>4</v>
      </c>
      <c r="C21" s="1">
        <v>4</v>
      </c>
      <c r="D21" s="888"/>
      <c r="E21" s="1022"/>
      <c r="F21" s="1319" t="str">
        <f>IF(F16=$S$15,$T$13,IF(ROUNDDOWN(F16,0)=$S$13,$U$13,$T$13))</f>
        <v>　レベル　4</v>
      </c>
      <c r="G21" s="1319" t="str">
        <f>IF(G16=$S$15,$T$13,IF(ROUNDDOWN(G16,0)=$S$13,$U$13,$T$13))</f>
        <v>　レベル　4</v>
      </c>
      <c r="H21" s="3976"/>
      <c r="I21" s="3977"/>
      <c r="J21" s="3976"/>
      <c r="K21" s="3977"/>
      <c r="L21" s="3054" t="str">
        <f>IF(L16=$S$15,$T$13,IF(ROUNDDOWN(L16,0)=$S$13,$U$13,$T$13))</f>
        <v>　レベル　4</v>
      </c>
      <c r="M21" s="3754" t="s">
        <v>3872</v>
      </c>
      <c r="N21" s="3839"/>
      <c r="O21" s="3840"/>
    </row>
    <row r="22" spans="2:256" ht="30.75" customHeight="1" thickBot="1">
      <c r="B22" s="1">
        <v>5</v>
      </c>
      <c r="C22" s="1">
        <v>5</v>
      </c>
      <c r="D22" s="888"/>
      <c r="E22" s="1022"/>
      <c r="F22" s="1320" t="str">
        <f>IF(F16=$S$15,$T$14,IF(ROUNDDOWN(F16,0)=$S$14,$U$14,$T$14))</f>
        <v>　レベル　5</v>
      </c>
      <c r="G22" s="1320" t="str">
        <f>IF(G16=$S$15,$T$14,IF(ROUNDDOWN(G16,0)=$S$14,$U$14,$T$14))</f>
        <v>　レベル　5</v>
      </c>
      <c r="H22" s="3978"/>
      <c r="I22" s="3979"/>
      <c r="J22" s="3978"/>
      <c r="K22" s="3979"/>
      <c r="L22" s="3055" t="str">
        <f>IF(L16=$S$15,$T$14,IF(ROUNDDOWN(L16,0)=$S$14,$U$14,$T$14))</f>
        <v>　レベル　5</v>
      </c>
      <c r="M22" s="1155" t="s">
        <v>3873</v>
      </c>
      <c r="N22" s="1156"/>
      <c r="O22" s="1157"/>
    </row>
    <row r="23" spans="2:256" s="2445" customFormat="1" ht="16.5" thickBot="1">
      <c r="B23" s="940">
        <v>0</v>
      </c>
      <c r="C23" s="940">
        <v>0</v>
      </c>
      <c r="D23" s="888"/>
      <c r="E23" s="2063"/>
      <c r="F23" s="910">
        <v>0</v>
      </c>
      <c r="G23" s="1138" t="s">
        <v>2193</v>
      </c>
      <c r="H23" s="2358" t="s">
        <v>3822</v>
      </c>
      <c r="I23" s="2063"/>
      <c r="J23" s="2063"/>
      <c r="K23" s="2063"/>
      <c r="L23" s="2063"/>
      <c r="M23" s="2063"/>
      <c r="N23" s="2063"/>
      <c r="O23" s="2063"/>
      <c r="P23" s="2063"/>
      <c r="Q23" s="2063"/>
      <c r="R23" s="2063"/>
      <c r="S23" s="2063"/>
      <c r="T23" s="2063"/>
      <c r="U23" s="2063"/>
      <c r="V23" s="2063"/>
      <c r="W23" s="2063"/>
      <c r="X23" s="2063"/>
      <c r="Y23" s="2063"/>
      <c r="Z23" s="2063"/>
      <c r="AA23" s="2063"/>
      <c r="AB23" s="2063"/>
      <c r="AC23" s="2063"/>
      <c r="AD23" s="2063"/>
      <c r="AE23" s="2063"/>
      <c r="AF23" s="2063"/>
      <c r="AG23" s="2063"/>
      <c r="AH23" s="2063"/>
      <c r="AI23" s="2063"/>
      <c r="AJ23" s="2063"/>
      <c r="AK23" s="2063"/>
      <c r="AL23" s="2063"/>
      <c r="AM23" s="2063"/>
      <c r="AN23" s="2063"/>
      <c r="AO23" s="2063"/>
      <c r="AP23" s="2063"/>
      <c r="AQ23" s="2063"/>
      <c r="AR23" s="2063"/>
      <c r="AS23" s="2063"/>
      <c r="AT23" s="2063"/>
      <c r="AU23" s="2063"/>
      <c r="AV23" s="2063"/>
      <c r="AW23" s="2063"/>
      <c r="AX23" s="2063"/>
      <c r="AY23" s="2063"/>
      <c r="AZ23" s="2063"/>
      <c r="BA23" s="2063"/>
      <c r="BB23" s="2063"/>
      <c r="BC23" s="2063"/>
      <c r="BD23" s="2063"/>
      <c r="BE23" s="2063"/>
      <c r="BF23" s="2063"/>
      <c r="BG23" s="2063"/>
      <c r="BH23" s="2063"/>
      <c r="BI23" s="2063"/>
      <c r="BJ23" s="2063"/>
      <c r="BK23" s="2063"/>
      <c r="BL23" s="2063"/>
      <c r="BM23" s="2063"/>
      <c r="BN23" s="2063"/>
      <c r="BO23" s="2063"/>
      <c r="BP23" s="2063"/>
      <c r="BQ23" s="2063"/>
      <c r="BR23" s="2063"/>
      <c r="BS23" s="2063"/>
      <c r="BT23" s="2063"/>
      <c r="BU23" s="2063"/>
      <c r="BV23" s="2063"/>
      <c r="BW23" s="2063"/>
      <c r="BX23" s="2063"/>
      <c r="BY23" s="2063"/>
      <c r="BZ23" s="2063"/>
      <c r="CA23" s="2063"/>
      <c r="CB23" s="2063"/>
      <c r="CC23" s="2063"/>
      <c r="CD23" s="2063"/>
      <c r="CE23" s="2063"/>
      <c r="CF23" s="2063"/>
      <c r="CG23" s="2063"/>
      <c r="CH23" s="2063"/>
      <c r="CI23" s="2063"/>
      <c r="CJ23" s="2063"/>
      <c r="CK23" s="2063"/>
      <c r="CL23" s="2063"/>
      <c r="CM23" s="2063"/>
      <c r="CN23" s="2063"/>
      <c r="CO23" s="2063"/>
      <c r="CP23" s="2063"/>
      <c r="CQ23" s="2063"/>
      <c r="CR23" s="2063"/>
      <c r="CS23" s="2063"/>
      <c r="CT23" s="2063"/>
      <c r="CU23" s="2063"/>
      <c r="CV23" s="2063"/>
      <c r="CW23" s="2063"/>
      <c r="CX23" s="2063"/>
      <c r="CY23" s="2063"/>
      <c r="CZ23" s="2063"/>
      <c r="DA23" s="2063"/>
      <c r="DB23" s="2063"/>
      <c r="DC23" s="2063"/>
      <c r="DD23" s="2063"/>
      <c r="DE23" s="2063"/>
      <c r="DF23" s="2063"/>
      <c r="DG23" s="2063"/>
      <c r="DH23" s="2063"/>
      <c r="DI23" s="2063"/>
      <c r="DJ23" s="2063"/>
      <c r="DK23" s="2063"/>
      <c r="DL23" s="2063"/>
      <c r="DM23" s="2063"/>
      <c r="DN23" s="2063"/>
      <c r="DO23" s="2063"/>
      <c r="DP23" s="2063"/>
      <c r="DQ23" s="2063"/>
      <c r="DR23" s="2063"/>
      <c r="DS23" s="2063"/>
      <c r="DT23" s="2063"/>
      <c r="DU23" s="2063"/>
      <c r="DV23" s="2063"/>
      <c r="DW23" s="2063"/>
      <c r="DX23" s="2063"/>
      <c r="DY23" s="2063"/>
      <c r="DZ23" s="2063"/>
      <c r="EA23" s="2063"/>
      <c r="EB23" s="2063"/>
      <c r="EC23" s="2063"/>
      <c r="ED23" s="2063"/>
      <c r="EE23" s="2063"/>
      <c r="EF23" s="2063"/>
      <c r="EG23" s="2063"/>
      <c r="EH23" s="2063"/>
      <c r="EI23" s="2063"/>
      <c r="EJ23" s="2063"/>
      <c r="EK23" s="2063"/>
      <c r="EL23" s="2063"/>
      <c r="EM23" s="2063"/>
      <c r="EN23" s="2063"/>
      <c r="EO23" s="2063"/>
      <c r="EP23" s="2063"/>
      <c r="EQ23" s="2063"/>
      <c r="ER23" s="2063"/>
      <c r="ES23" s="2063"/>
      <c r="ET23" s="2063"/>
      <c r="EU23" s="2063"/>
      <c r="EV23" s="2063"/>
      <c r="EW23" s="2063"/>
      <c r="EX23" s="2063"/>
      <c r="EY23" s="2063"/>
      <c r="EZ23" s="2063"/>
      <c r="FA23" s="2063"/>
      <c r="FB23" s="2063"/>
      <c r="FC23" s="2063"/>
      <c r="FD23" s="2063"/>
      <c r="FE23" s="2063"/>
      <c r="FF23" s="2063"/>
      <c r="FG23" s="2063"/>
      <c r="FH23" s="2063"/>
      <c r="FI23" s="2063"/>
      <c r="FJ23" s="2063"/>
      <c r="FK23" s="2063"/>
      <c r="FL23" s="2063"/>
      <c r="FM23" s="2063"/>
      <c r="FN23" s="2063"/>
      <c r="FO23" s="2063"/>
      <c r="FP23" s="2063"/>
      <c r="FQ23" s="2063"/>
      <c r="FR23" s="2063"/>
      <c r="FS23" s="2063"/>
      <c r="FT23" s="2063"/>
      <c r="FU23" s="2063"/>
      <c r="FV23" s="2063"/>
      <c r="FW23" s="2063"/>
      <c r="FX23" s="2063"/>
      <c r="FY23" s="2063"/>
      <c r="FZ23" s="2063"/>
      <c r="GA23" s="2063"/>
      <c r="GB23" s="2063"/>
      <c r="GC23" s="2063"/>
      <c r="GD23" s="2063"/>
      <c r="GE23" s="2063"/>
      <c r="GF23" s="2063"/>
      <c r="GG23" s="2063"/>
      <c r="GH23" s="2063"/>
      <c r="GI23" s="2063"/>
      <c r="GJ23" s="2063"/>
      <c r="GK23" s="2063"/>
      <c r="GL23" s="2063"/>
      <c r="GM23" s="2063"/>
      <c r="GN23" s="2063"/>
      <c r="GO23" s="2063"/>
      <c r="GP23" s="2063"/>
      <c r="GQ23" s="2063"/>
      <c r="GR23" s="2063"/>
      <c r="GS23" s="2063"/>
      <c r="GT23" s="2063"/>
      <c r="GU23" s="2063"/>
      <c r="GV23" s="2063"/>
      <c r="GW23" s="2063"/>
      <c r="GX23" s="2063"/>
      <c r="GY23" s="2063"/>
      <c r="GZ23" s="2063"/>
      <c r="HA23" s="2063"/>
      <c r="HB23" s="2063"/>
      <c r="HC23" s="2063"/>
      <c r="HD23" s="2063"/>
      <c r="HE23" s="2063"/>
      <c r="HF23" s="2063"/>
      <c r="HG23" s="2063"/>
      <c r="HH23" s="2063"/>
      <c r="HI23" s="2063"/>
      <c r="HJ23" s="2063"/>
      <c r="HK23" s="2063"/>
      <c r="HL23" s="2063"/>
      <c r="HM23" s="2063"/>
      <c r="HN23" s="2063"/>
      <c r="HO23" s="2063"/>
      <c r="HP23" s="2063"/>
      <c r="HQ23" s="2063"/>
      <c r="HR23" s="2063"/>
      <c r="HS23" s="2063"/>
      <c r="HT23" s="2063"/>
      <c r="HU23" s="2063"/>
      <c r="HV23" s="2063"/>
      <c r="HW23" s="2063"/>
      <c r="HX23" s="2063"/>
      <c r="HY23" s="2063"/>
      <c r="HZ23" s="2063"/>
      <c r="IA23" s="2063"/>
      <c r="IB23" s="2063"/>
      <c r="IC23" s="2063"/>
      <c r="ID23" s="2063"/>
      <c r="IE23" s="2063"/>
      <c r="IF23" s="2063"/>
      <c r="IG23" s="2063"/>
      <c r="IH23" s="2063"/>
      <c r="II23" s="2063"/>
      <c r="IJ23" s="2063"/>
      <c r="IK23" s="2063"/>
      <c r="IL23" s="2063"/>
      <c r="IM23" s="2063"/>
      <c r="IN23" s="2063"/>
      <c r="IO23" s="2063"/>
      <c r="IP23" s="2063"/>
      <c r="IQ23" s="2063"/>
      <c r="IR23" s="2063"/>
      <c r="IS23" s="2063"/>
      <c r="IT23" s="2063"/>
      <c r="IU23" s="2063"/>
      <c r="IV23" s="2063"/>
    </row>
    <row r="24" spans="2:256" hidden="1">
      <c r="F24" s="3060" t="s">
        <v>3876</v>
      </c>
    </row>
    <row r="25" spans="2:256" s="2445" customFormat="1">
      <c r="D25" s="2314"/>
      <c r="E25" s="2037"/>
      <c r="F25" s="2037"/>
      <c r="G25" s="2037"/>
      <c r="H25" s="2037"/>
      <c r="I25" s="2037"/>
      <c r="J25" s="2037"/>
      <c r="K25" s="2037"/>
      <c r="L25" s="2037"/>
      <c r="M25" s="2037"/>
      <c r="N25" s="2037"/>
      <c r="O25" s="2037"/>
    </row>
    <row r="26" spans="2:256" ht="15.75">
      <c r="D26" s="888">
        <v>2</v>
      </c>
      <c r="E26" s="897" t="s">
        <v>2046</v>
      </c>
      <c r="F26" s="897"/>
      <c r="G26" s="897"/>
      <c r="H26" s="897"/>
      <c r="I26" s="1327"/>
      <c r="J26" s="979" t="str">
        <f>IF(OR(F28=0,AND(J28=0,O28=0)),$R$3,"")</f>
        <v/>
      </c>
      <c r="K26" s="1327"/>
      <c r="L26" s="1327"/>
      <c r="M26" s="1328"/>
    </row>
    <row r="27" spans="2:256" ht="16.5" thickBot="1">
      <c r="D27" s="888"/>
      <c r="E27" s="897"/>
      <c r="F27" s="1045"/>
      <c r="G27" s="904"/>
      <c r="H27" s="905"/>
      <c r="I27" s="906" t="s">
        <v>1121</v>
      </c>
      <c r="J27" s="907">
        <f>重み!M124</f>
        <v>0.1</v>
      </c>
      <c r="K27" s="1046"/>
      <c r="L27" s="1046"/>
      <c r="M27" s="1046"/>
      <c r="N27" s="1046"/>
      <c r="O27" s="916"/>
    </row>
    <row r="28" spans="2:256" ht="16.5" thickBot="1">
      <c r="D28" s="888"/>
      <c r="E28" s="897"/>
      <c r="F28" s="1276">
        <f>IF((J28+O28)=0,0,IF(AND(G28=0,O28&gt;0),L28,G28*J28/(J28+O28)+L28*O28/(J28+O28)))</f>
        <v>3</v>
      </c>
      <c r="G28" s="1276">
        <f>IF(H34=T4,F34,IF(COUNTIF(H39:H42,"○")&lt;1,3,IF(COUNTIF(H39:H42,"○")&gt;=1,IF(I36&lt;15,4,5))))</f>
        <v>3</v>
      </c>
      <c r="H28" s="1324" t="s">
        <v>829</v>
      </c>
      <c r="I28" s="1324"/>
      <c r="J28" s="1144">
        <f>計画書!H118</f>
        <v>20000</v>
      </c>
      <c r="K28" s="1350" t="s">
        <v>1092</v>
      </c>
      <c r="L28" s="910">
        <v>3</v>
      </c>
      <c r="M28" s="1329" t="s">
        <v>1240</v>
      </c>
      <c r="N28" s="1330"/>
      <c r="O28" s="1144">
        <f>計画書!H117</f>
        <v>320</v>
      </c>
    </row>
    <row r="29" spans="2:256" ht="23.25" customHeight="1">
      <c r="B29" s="1" t="s">
        <v>2355</v>
      </c>
      <c r="C29" s="1" t="s">
        <v>2355</v>
      </c>
      <c r="D29" s="888"/>
      <c r="E29" s="888"/>
      <c r="F29" s="1347" t="str">
        <f>IF(F28=$S$15,"",IF(ROUNDDOWN(F28,0)=$S$10,$U$10,$T$10))</f>
        <v>　レベル　1</v>
      </c>
      <c r="G29" s="1347" t="str">
        <f>IF(G28=$S$15,"",IF(ROUNDDOWN(G28,0)=$S$10,$U$10,$T$10))</f>
        <v>　レベル　1</v>
      </c>
      <c r="H29" s="919" t="s">
        <v>1788</v>
      </c>
      <c r="I29" s="920"/>
      <c r="J29" s="920"/>
      <c r="K29" s="3967" t="s">
        <v>3877</v>
      </c>
      <c r="L29" s="1347" t="str">
        <f>IF(L28=$S$15,"",IF(ROUNDDOWN(L28,0)=$S$10,$U$10,$T$10))</f>
        <v>　レベル　1</v>
      </c>
      <c r="M29" s="919" t="s">
        <v>1788</v>
      </c>
      <c r="N29" s="920"/>
      <c r="O29" s="921"/>
    </row>
    <row r="30" spans="2:256" ht="23.25" customHeight="1">
      <c r="B30" s="1" t="s">
        <v>2355</v>
      </c>
      <c r="C30" s="1">
        <v>2</v>
      </c>
      <c r="D30" s="888"/>
      <c r="E30" s="888"/>
      <c r="F30" s="1348" t="str">
        <f>IF(F28=$S$15,"",IF(ROUNDDOWN(F28,0)=$S$11,$U$11,$T$11))</f>
        <v>　レベル　2</v>
      </c>
      <c r="G30" s="1348" t="str">
        <f>IF(G28=$S$15,"",IF(ROUNDDOWN(G28,0)=$S$11,$U$11,$T$11))</f>
        <v>　レベル　2</v>
      </c>
      <c r="H30" s="926" t="s">
        <v>1788</v>
      </c>
      <c r="I30" s="927"/>
      <c r="J30" s="927"/>
      <c r="K30" s="3968"/>
      <c r="L30" s="1348" t="str">
        <f>IF(L28=$S$15,"",IF(ROUNDDOWN(L28,0)=$S$11,$U$11,$T$11))</f>
        <v>　レベル　2</v>
      </c>
      <c r="M30" s="926" t="s">
        <v>2945</v>
      </c>
      <c r="N30" s="927"/>
      <c r="O30" s="928"/>
    </row>
    <row r="31" spans="2:256" ht="39.75" customHeight="1">
      <c r="B31" s="1">
        <v>3</v>
      </c>
      <c r="C31" s="1">
        <v>3</v>
      </c>
      <c r="D31" s="888"/>
      <c r="E31" s="888"/>
      <c r="F31" s="1348" t="str">
        <f>IF(F28=$S$15,"",IF(ROUNDDOWN(F28,0)=$S$12,$U$12,$T$12))</f>
        <v>■レベル　3</v>
      </c>
      <c r="G31" s="1348" t="str">
        <f>IF(G28=$S$15,"",IF(ROUNDDOWN(G28,0)=$S$12,$U$12,$T$12))</f>
        <v>■レベル　3</v>
      </c>
      <c r="H31" s="3988" t="s">
        <v>2946</v>
      </c>
      <c r="I31" s="3989"/>
      <c r="J31" s="3990"/>
      <c r="K31" s="3061" t="s">
        <v>3878</v>
      </c>
      <c r="L31" s="1348" t="str">
        <f>IF(L28=$S$15,"",IF(ROUNDDOWN(L28,0)=$S$12,$U$12,$T$12))</f>
        <v>■レベル　3</v>
      </c>
      <c r="M31" s="3716" t="s">
        <v>2947</v>
      </c>
      <c r="N31" s="3856"/>
      <c r="O31" s="3857"/>
    </row>
    <row r="32" spans="2:256" ht="50.25" customHeight="1">
      <c r="B32" s="1">
        <v>4</v>
      </c>
      <c r="C32" s="1">
        <v>4</v>
      </c>
      <c r="D32" s="888"/>
      <c r="E32" s="888"/>
      <c r="F32" s="1348" t="str">
        <f>IF(F28=$S$15,"",IF(ROUNDDOWN(F28,0)=$S$13,$U$13,$T$13))</f>
        <v>　レベル　4</v>
      </c>
      <c r="G32" s="1348" t="str">
        <f>IF(G28=$S$15,"",IF(ROUNDDOWN(G28,0)=$S$13,$U$13,$T$13))</f>
        <v>　レベル　4</v>
      </c>
      <c r="H32" s="3682" t="s">
        <v>2948</v>
      </c>
      <c r="I32" s="3705"/>
      <c r="J32" s="3706"/>
      <c r="K32" s="3061" t="s">
        <v>3879</v>
      </c>
      <c r="L32" s="1348" t="str">
        <f>IF(L28=$S$15,"",IF(ROUNDDOWN(L28,0)=$S$13,$U$13,$T$13))</f>
        <v>　レベル　4</v>
      </c>
      <c r="M32" s="3716" t="s">
        <v>2949</v>
      </c>
      <c r="N32" s="3856"/>
      <c r="O32" s="3857"/>
    </row>
    <row r="33" spans="2:17" ht="27" customHeight="1" thickBot="1">
      <c r="B33" s="1">
        <v>5</v>
      </c>
      <c r="C33" s="1">
        <v>5</v>
      </c>
      <c r="D33" s="888"/>
      <c r="E33" s="888"/>
      <c r="F33" s="1349" t="str">
        <f>IF(F28=$S$15,"",IF(ROUNDDOWN(F28,0)=$S$14,$U$14,$T$14))</f>
        <v>　レベル　5</v>
      </c>
      <c r="G33" s="1349" t="str">
        <f>IF(G28=$S$15,"",IF(ROUNDDOWN(G28,0)=$S$14,$U$14,$T$14))</f>
        <v>　レベル　5</v>
      </c>
      <c r="H33" s="3819" t="s">
        <v>2950</v>
      </c>
      <c r="I33" s="3821"/>
      <c r="J33" s="4010"/>
      <c r="K33" s="3062"/>
      <c r="L33" s="1349" t="str">
        <f>IF(L28=$S$15,"",IF(ROUNDDOWN(L28,0)=$S$14,$U$14,$T$14))</f>
        <v>　レベル　5</v>
      </c>
      <c r="M33" s="937" t="s">
        <v>2951</v>
      </c>
      <c r="N33" s="938"/>
      <c r="O33" s="939"/>
    </row>
    <row r="34" spans="2:17" s="2445" customFormat="1" ht="21" customHeight="1" thickBot="1">
      <c r="B34" s="940">
        <v>0</v>
      </c>
      <c r="C34" s="940">
        <v>0</v>
      </c>
      <c r="D34" s="2307"/>
      <c r="E34" s="140"/>
      <c r="F34" s="910">
        <v>0</v>
      </c>
      <c r="G34" s="1138" t="s">
        <v>2193</v>
      </c>
      <c r="H34" s="2358" t="s">
        <v>3822</v>
      </c>
      <c r="I34" s="140"/>
      <c r="J34" s="140"/>
      <c r="K34" s="140"/>
      <c r="L34" s="140"/>
      <c r="M34" s="140"/>
      <c r="N34" s="140"/>
      <c r="O34" s="140"/>
    </row>
    <row r="35" spans="2:17" ht="24.75" hidden="1" customHeight="1" thickBot="1">
      <c r="D35" s="2307"/>
      <c r="E35" s="140"/>
      <c r="F35" s="3060" t="s">
        <v>3876</v>
      </c>
      <c r="G35" s="140"/>
      <c r="H35" s="140"/>
      <c r="I35" s="140"/>
      <c r="J35" s="140"/>
      <c r="K35" s="140"/>
      <c r="L35" s="140"/>
      <c r="M35" s="140"/>
      <c r="N35" s="140"/>
      <c r="O35" s="140"/>
    </row>
    <row r="36" spans="2:17" ht="25.5" customHeight="1" thickBot="1">
      <c r="D36" s="2307"/>
      <c r="E36" s="140"/>
      <c r="F36" s="140"/>
      <c r="G36" s="1325" t="s">
        <v>61</v>
      </c>
      <c r="H36" s="1308"/>
      <c r="I36" s="1331">
        <v>0</v>
      </c>
      <c r="J36" s="1326" t="s">
        <v>62</v>
      </c>
      <c r="K36" s="140"/>
      <c r="L36" s="140"/>
      <c r="M36" s="140"/>
      <c r="N36" s="140"/>
      <c r="O36" s="140"/>
    </row>
    <row r="37" spans="2:17" ht="7.5" customHeight="1">
      <c r="D37" s="2307"/>
      <c r="E37" s="140"/>
      <c r="F37" s="140"/>
      <c r="G37" s="140"/>
      <c r="H37" s="140"/>
      <c r="I37" s="140"/>
      <c r="J37" s="140"/>
      <c r="K37" s="140"/>
      <c r="L37" s="140"/>
      <c r="M37" s="140"/>
      <c r="N37" s="140"/>
      <c r="O37" s="140"/>
    </row>
    <row r="38" spans="2:17" ht="19.5" customHeight="1" thickBot="1">
      <c r="B38" s="2445" t="s">
        <v>1973</v>
      </c>
      <c r="C38" s="2445"/>
      <c r="D38" s="888"/>
      <c r="E38" s="1328"/>
      <c r="F38" s="888"/>
      <c r="G38" s="1332" t="s">
        <v>830</v>
      </c>
      <c r="H38" s="1333" t="s">
        <v>952</v>
      </c>
      <c r="I38" s="1334" t="s">
        <v>831</v>
      </c>
      <c r="J38" s="1335"/>
      <c r="K38" s="1335"/>
      <c r="L38" s="1335"/>
      <c r="M38" s="1335"/>
      <c r="N38" s="1335"/>
      <c r="O38" s="1336"/>
      <c r="P38" s="2063"/>
      <c r="Q38" s="2063"/>
    </row>
    <row r="39" spans="2:17" ht="23.25" customHeight="1">
      <c r="B39" s="940">
        <v>0</v>
      </c>
      <c r="C39" s="940">
        <v>0</v>
      </c>
      <c r="D39" s="888"/>
      <c r="E39" s="1328"/>
      <c r="F39" s="888"/>
      <c r="G39" s="1337">
        <v>1</v>
      </c>
      <c r="H39" s="1226"/>
      <c r="I39" s="3754" t="s">
        <v>2952</v>
      </c>
      <c r="J39" s="3993"/>
      <c r="K39" s="3993"/>
      <c r="L39" s="3993"/>
      <c r="M39" s="3993"/>
      <c r="N39" s="3993"/>
      <c r="O39" s="3994"/>
    </row>
    <row r="40" spans="2:17" ht="31.5" customHeight="1">
      <c r="D40" s="888"/>
      <c r="E40" s="1328"/>
      <c r="F40" s="888"/>
      <c r="G40" s="1338">
        <v>2</v>
      </c>
      <c r="H40" s="1229"/>
      <c r="I40" s="3754" t="s">
        <v>2953</v>
      </c>
      <c r="J40" s="3993"/>
      <c r="K40" s="3993"/>
      <c r="L40" s="3993"/>
      <c r="M40" s="3993"/>
      <c r="N40" s="3993"/>
      <c r="O40" s="3994"/>
    </row>
    <row r="41" spans="2:17" ht="27.75" customHeight="1">
      <c r="D41" s="888"/>
      <c r="E41" s="1328"/>
      <c r="F41" s="888"/>
      <c r="G41" s="1338">
        <v>3</v>
      </c>
      <c r="H41" s="1229"/>
      <c r="I41" s="3754" t="s">
        <v>2954</v>
      </c>
      <c r="J41" s="3993"/>
      <c r="K41" s="3993"/>
      <c r="L41" s="3993"/>
      <c r="M41" s="3993"/>
      <c r="N41" s="3993"/>
      <c r="O41" s="3994"/>
    </row>
    <row r="42" spans="2:17" ht="27.75" customHeight="1" thickBot="1">
      <c r="D42" s="888"/>
      <c r="E42" s="1328"/>
      <c r="F42" s="888"/>
      <c r="G42" s="1339">
        <v>4</v>
      </c>
      <c r="H42" s="1340"/>
      <c r="I42" s="1155" t="s">
        <v>2955</v>
      </c>
      <c r="J42" s="1156"/>
      <c r="K42" s="1156"/>
      <c r="L42" s="1156"/>
      <c r="M42" s="1156"/>
      <c r="N42" s="1156"/>
      <c r="O42" s="1157"/>
    </row>
    <row r="43" spans="2:17"/>
    <row r="44" spans="2:17" ht="14.25" customHeight="1">
      <c r="D44" s="1311">
        <v>3</v>
      </c>
      <c r="E44" s="1123" t="s">
        <v>1286</v>
      </c>
      <c r="F44" s="560"/>
      <c r="G44" s="560"/>
      <c r="H44" s="560"/>
      <c r="I44" s="560"/>
      <c r="J44" s="979" t="e">
        <f>IF(OR(F47=0,AND(O46=0,J47=0)),$R$3,"")</f>
        <v>#DIV/0!</v>
      </c>
      <c r="K44" s="1279"/>
      <c r="L44" s="1279"/>
      <c r="M44" s="1279"/>
      <c r="N44" s="1279"/>
      <c r="O44" s="1279"/>
    </row>
    <row r="45" spans="2:17" s="2410" customFormat="1" ht="14.25" hidden="1" customHeight="1">
      <c r="D45" s="1311">
        <v>3.1</v>
      </c>
      <c r="E45" s="1123" t="s">
        <v>2438</v>
      </c>
      <c r="F45" s="560"/>
      <c r="G45" s="560"/>
      <c r="H45" s="560"/>
      <c r="I45" s="560"/>
      <c r="J45" s="979"/>
      <c r="K45" s="1279"/>
      <c r="L45" s="1279"/>
      <c r="M45" s="1279"/>
      <c r="N45" s="1279"/>
      <c r="O45" s="1279"/>
    </row>
    <row r="46" spans="2:17" ht="14.25">
      <c r="D46" s="2312"/>
      <c r="E46" s="1312"/>
      <c r="F46" s="3073" t="s">
        <v>2127</v>
      </c>
      <c r="G46" s="3074"/>
      <c r="H46" s="904"/>
      <c r="I46" s="904"/>
      <c r="J46" s="907"/>
      <c r="K46" s="915"/>
      <c r="L46" s="915"/>
      <c r="M46" s="916"/>
      <c r="N46" s="906" t="s">
        <v>1121</v>
      </c>
      <c r="O46" s="909">
        <f>重み!M129</f>
        <v>0.5</v>
      </c>
    </row>
    <row r="47" spans="2:17" ht="25.5" customHeight="1">
      <c r="D47" s="888"/>
      <c r="E47" s="1308"/>
      <c r="F47" s="3059" t="e">
        <f>ROUNDDOWN(計画書!H37,1)</f>
        <v>#DIV/0!</v>
      </c>
      <c r="G47" s="3018" t="s">
        <v>728</v>
      </c>
      <c r="H47" s="3071">
        <f>計画書!H113</f>
        <v>20000</v>
      </c>
      <c r="I47" s="3072" t="s">
        <v>4065</v>
      </c>
      <c r="J47" s="1144">
        <f>計画書!J113</f>
        <v>38000</v>
      </c>
      <c r="K47" s="3056" t="s">
        <v>1556</v>
      </c>
      <c r="L47" s="1144">
        <f>メイン!C64</f>
        <v>320</v>
      </c>
      <c r="M47" s="4007" t="s">
        <v>3891</v>
      </c>
      <c r="N47" s="4008"/>
      <c r="O47" s="4009"/>
    </row>
    <row r="48" spans="2:17" ht="23.25" customHeight="1">
      <c r="D48" s="888"/>
      <c r="E48" s="1308"/>
      <c r="F48" s="922" t="e">
        <f>IF(F47=$S$15,$T$10,IF(ROUNDDOWN(F47,0)=$S$10,$U$10,$T$10))</f>
        <v>#DIV/0!</v>
      </c>
      <c r="G48" s="3974" t="s">
        <v>3880</v>
      </c>
      <c r="H48" s="3975"/>
      <c r="I48" s="3974" t="s">
        <v>3881</v>
      </c>
      <c r="J48" s="3975"/>
      <c r="K48" s="3974" t="s">
        <v>3882</v>
      </c>
      <c r="L48" s="3975"/>
      <c r="M48" s="3063" t="s">
        <v>3883</v>
      </c>
      <c r="N48" s="3064" t="s">
        <v>3884</v>
      </c>
      <c r="O48" s="3065">
        <f>ROUNDDOWN(計画書!J35,2)</f>
        <v>1.1000000000000001</v>
      </c>
    </row>
    <row r="49" spans="4:15" ht="23.25" customHeight="1">
      <c r="D49" s="888"/>
      <c r="E49" s="1308"/>
      <c r="F49" s="1069" t="e">
        <f>IF(F47=$S$15,$T$11,IF(ROUNDDOWN(F47,0)=$S$11,$U$11,$T$11))</f>
        <v>#DIV/0!</v>
      </c>
      <c r="G49" s="3976"/>
      <c r="H49" s="3977"/>
      <c r="I49" s="3976"/>
      <c r="J49" s="3977"/>
      <c r="K49" s="3976"/>
      <c r="L49" s="3977"/>
      <c r="M49" s="3066" t="s">
        <v>3885</v>
      </c>
      <c r="N49" s="3067" t="s">
        <v>3886</v>
      </c>
      <c r="O49" s="3068">
        <f>ROUNDDOWN(計画書!K35,2)</f>
        <v>1</v>
      </c>
    </row>
    <row r="50" spans="4:15" ht="23.25" customHeight="1">
      <c r="D50" s="888"/>
      <c r="E50" s="1308"/>
      <c r="F50" s="1069" t="e">
        <f>IF(F47=$S$15,$T$12,IF(ROUNDDOWN(F47,0)=$S$12,$U$12,$T$12))</f>
        <v>#DIV/0!</v>
      </c>
      <c r="G50" s="3976"/>
      <c r="H50" s="3977"/>
      <c r="I50" s="3976"/>
      <c r="J50" s="3977"/>
      <c r="K50" s="3976"/>
      <c r="L50" s="3977"/>
      <c r="M50" s="3066" t="s">
        <v>3887</v>
      </c>
      <c r="N50" s="3067" t="s">
        <v>3886</v>
      </c>
      <c r="O50" s="3069">
        <f>ROUNDDOWN(計画書!L35,2)</f>
        <v>0.8</v>
      </c>
    </row>
    <row r="51" spans="4:15" ht="23.25" customHeight="1">
      <c r="D51" s="888"/>
      <c r="E51" s="1308"/>
      <c r="F51" s="1069" t="e">
        <f>IF(F47=$S$15,$T$13,IF(ROUNDDOWN(F47,0)=$S$13,$U$13,$T$13))</f>
        <v>#DIV/0!</v>
      </c>
      <c r="G51" s="3976"/>
      <c r="H51" s="3977"/>
      <c r="I51" s="3976"/>
      <c r="J51" s="3977"/>
      <c r="K51" s="3976"/>
      <c r="L51" s="3977"/>
      <c r="M51" s="3066" t="s">
        <v>3888</v>
      </c>
      <c r="N51" s="3067" t="s">
        <v>3886</v>
      </c>
      <c r="O51" s="3069">
        <f>ROUNDDOWN(計画書!M35,2)</f>
        <v>0.7</v>
      </c>
    </row>
    <row r="52" spans="4:15" ht="23.25" customHeight="1">
      <c r="D52" s="888"/>
      <c r="E52" s="1308"/>
      <c r="F52" s="1344" t="e">
        <f>IF(F47=$S$15,$T$14,IF(ROUNDDOWN(F47,0)=$S$14,$U$14,$T$14))</f>
        <v>#DIV/0!</v>
      </c>
      <c r="G52" s="3978"/>
      <c r="H52" s="3979"/>
      <c r="I52" s="3978"/>
      <c r="J52" s="3979"/>
      <c r="K52" s="3978"/>
      <c r="L52" s="3979"/>
      <c r="M52" s="2575" t="s">
        <v>3889</v>
      </c>
      <c r="N52" s="2576" t="s">
        <v>3890</v>
      </c>
      <c r="O52" s="3070">
        <f>ROUNDDOWN(計画書!N35,2)</f>
        <v>0.6</v>
      </c>
    </row>
    <row r="53" spans="4:15" ht="14.25" hidden="1">
      <c r="F53" s="3060" t="s">
        <v>3892</v>
      </c>
    </row>
    <row r="54" spans="4:15"/>
    <row r="55" spans="4:15">
      <c r="G55" s="3075" t="s">
        <v>1774</v>
      </c>
      <c r="H55" s="3076" t="s">
        <v>2420</v>
      </c>
      <c r="I55" s="3077"/>
      <c r="J55" s="3077"/>
      <c r="K55" s="3077"/>
      <c r="L55" s="3077"/>
      <c r="M55" s="3077"/>
      <c r="N55" s="3077"/>
      <c r="O55" s="3078"/>
    </row>
    <row r="56" spans="4:15">
      <c r="G56" s="3079" t="s">
        <v>3893</v>
      </c>
      <c r="H56" s="3080"/>
      <c r="I56" s="3080"/>
      <c r="J56" s="3080"/>
      <c r="K56" s="3080"/>
      <c r="L56" s="3080"/>
      <c r="M56" s="3080"/>
      <c r="N56" s="3080"/>
      <c r="O56" s="3081"/>
    </row>
    <row r="57" spans="4:15">
      <c r="G57" s="3082" t="s">
        <v>3894</v>
      </c>
      <c r="H57" s="3083"/>
      <c r="I57" s="3083"/>
      <c r="J57" s="3083"/>
      <c r="K57" s="3083"/>
      <c r="L57" s="3083"/>
      <c r="M57" s="3083"/>
      <c r="N57" s="3083"/>
      <c r="O57" s="3084"/>
    </row>
    <row r="58" spans="4:15">
      <c r="G58" s="3085" t="s">
        <v>3895</v>
      </c>
      <c r="H58" s="3086"/>
      <c r="I58" s="3086"/>
      <c r="J58" s="3086"/>
      <c r="K58" s="3086"/>
      <c r="L58" s="3086"/>
      <c r="M58" s="3086"/>
      <c r="N58" s="3086"/>
      <c r="O58" s="3087"/>
    </row>
    <row r="59" spans="4:15" ht="13.5" customHeight="1"/>
    <row r="60" spans="4:15" s="2410" customFormat="1" ht="15.75" hidden="1" customHeight="1">
      <c r="D60" s="1311"/>
      <c r="E60" s="1123"/>
      <c r="F60" s="1311" t="s">
        <v>2495</v>
      </c>
      <c r="G60" s="140"/>
      <c r="H60" s="140"/>
      <c r="I60" s="140"/>
      <c r="J60" s="2412"/>
      <c r="K60" s="140"/>
      <c r="L60" s="140"/>
      <c r="M60" s="2037"/>
      <c r="N60" s="2037"/>
      <c r="O60" s="2037"/>
    </row>
    <row r="61" spans="4:15" s="2410" customFormat="1" ht="13.5" hidden="1" customHeight="1">
      <c r="D61" s="2314"/>
      <c r="E61" s="2412"/>
      <c r="F61" s="2412" t="s">
        <v>2439</v>
      </c>
      <c r="G61" s="140"/>
      <c r="H61" s="140"/>
      <c r="I61" s="140"/>
      <c r="J61" s="140"/>
      <c r="K61" s="140"/>
      <c r="L61" s="140"/>
      <c r="M61" s="2037"/>
      <c r="N61" s="2037"/>
      <c r="O61" s="2037"/>
    </row>
    <row r="62" spans="4:15" s="2410" customFormat="1" ht="13.5" hidden="1" customHeight="1">
      <c r="D62" s="2314"/>
      <c r="E62" s="2412"/>
      <c r="F62" s="1343" t="e">
        <f>#REF!</f>
        <v>#REF!</v>
      </c>
      <c r="G62" s="2433" t="s">
        <v>2956</v>
      </c>
      <c r="H62" s="2434"/>
      <c r="I62" s="2434"/>
      <c r="J62" s="2434"/>
      <c r="K62" s="2435">
        <v>1</v>
      </c>
      <c r="L62" s="2413"/>
      <c r="M62" s="2037"/>
      <c r="N62" s="2037"/>
      <c r="O62" s="2037"/>
    </row>
    <row r="63" spans="4:15" s="2410" customFormat="1" ht="13.5" hidden="1" customHeight="1">
      <c r="D63" s="2314"/>
      <c r="E63" s="2037"/>
      <c r="F63" s="140"/>
      <c r="G63" s="2433" t="s">
        <v>2957</v>
      </c>
      <c r="H63" s="2434"/>
      <c r="I63" s="2434"/>
      <c r="J63" s="2434"/>
      <c r="K63" s="2435" t="s">
        <v>2496</v>
      </c>
      <c r="L63" s="2413"/>
      <c r="M63" s="2037"/>
      <c r="N63" s="2037"/>
      <c r="O63" s="2037"/>
    </row>
    <row r="64" spans="4:15" s="2410" customFormat="1" ht="14.25" hidden="1" customHeight="1" thickBot="1">
      <c r="D64" s="2314"/>
      <c r="E64" s="2037"/>
      <c r="F64" s="140"/>
      <c r="G64" s="2436"/>
      <c r="H64" s="2436"/>
      <c r="I64" s="2436"/>
      <c r="J64" s="2436"/>
      <c r="K64" s="2437"/>
      <c r="L64" s="2413"/>
      <c r="M64" s="2037"/>
      <c r="N64" s="2037"/>
      <c r="O64" s="2037"/>
    </row>
    <row r="65" spans="2:15" s="2413" customFormat="1" ht="14.25" hidden="1" customHeight="1" thickBot="1">
      <c r="D65" s="2314"/>
      <c r="E65" s="2037"/>
      <c r="F65" s="2412" t="s">
        <v>2440</v>
      </c>
      <c r="G65" s="140"/>
      <c r="I65" s="2438"/>
      <c r="J65" s="140"/>
      <c r="K65" s="140"/>
      <c r="L65" s="140"/>
      <c r="M65" s="2037"/>
      <c r="N65" s="2037"/>
      <c r="O65" s="2037"/>
    </row>
    <row r="66" spans="2:15" s="2413" customFormat="1" ht="13.5" hidden="1" customHeight="1">
      <c r="D66" s="2314"/>
      <c r="E66" s="2037"/>
      <c r="F66" s="1343" t="e">
        <f>#REF!</f>
        <v>#REF!</v>
      </c>
      <c r="G66" s="2439" t="s">
        <v>2497</v>
      </c>
      <c r="H66" s="2440" t="s">
        <v>2498</v>
      </c>
      <c r="I66" s="2440" t="s">
        <v>2499</v>
      </c>
      <c r="J66" s="2440" t="s">
        <v>2500</v>
      </c>
      <c r="K66" s="140"/>
      <c r="L66" s="140"/>
      <c r="M66" s="2037"/>
      <c r="N66" s="2037"/>
      <c r="O66" s="2037"/>
    </row>
    <row r="67" spans="2:15" s="2413" customFormat="1" ht="13.5" hidden="1" customHeight="1">
      <c r="D67" s="2314"/>
      <c r="E67" s="2037"/>
      <c r="F67" s="140"/>
      <c r="G67" s="2441" t="s">
        <v>2501</v>
      </c>
      <c r="H67" s="2435">
        <v>2</v>
      </c>
      <c r="I67" s="2435">
        <v>1</v>
      </c>
      <c r="J67" s="2435">
        <v>1</v>
      </c>
      <c r="K67" s="140"/>
      <c r="L67" s="140"/>
      <c r="M67" s="2037"/>
      <c r="N67" s="2037"/>
      <c r="O67" s="2037"/>
    </row>
    <row r="68" spans="2:15" s="2413" customFormat="1" ht="13.5" hidden="1" customHeight="1">
      <c r="D68" s="2314"/>
      <c r="E68" s="2037"/>
      <c r="F68" s="140"/>
      <c r="G68" s="2441" t="s">
        <v>2502</v>
      </c>
      <c r="H68" s="2435">
        <v>2.5</v>
      </c>
      <c r="I68" s="2435">
        <v>1.5</v>
      </c>
      <c r="J68" s="2435">
        <v>1</v>
      </c>
      <c r="K68" s="140"/>
      <c r="L68" s="2442"/>
      <c r="M68" s="2037"/>
      <c r="N68" s="2037"/>
      <c r="O68" s="2037"/>
    </row>
    <row r="69" spans="2:15" s="2413" customFormat="1" ht="13.5" hidden="1" customHeight="1">
      <c r="D69" s="2314"/>
      <c r="E69" s="2037"/>
      <c r="F69" s="140"/>
      <c r="G69" s="2441" t="s">
        <v>2503</v>
      </c>
      <c r="H69" s="2435">
        <v>3</v>
      </c>
      <c r="I69" s="2435">
        <v>2</v>
      </c>
      <c r="J69" s="2435">
        <v>1</v>
      </c>
      <c r="K69" s="140"/>
      <c r="L69" s="140"/>
      <c r="M69" s="2037"/>
      <c r="N69" s="2037"/>
      <c r="O69" s="2037"/>
    </row>
    <row r="70" spans="2:15" s="2413" customFormat="1" ht="13.5" hidden="1" customHeight="1">
      <c r="D70" s="2314"/>
      <c r="E70" s="2037"/>
      <c r="F70" s="140"/>
      <c r="G70" s="2441" t="s">
        <v>2504</v>
      </c>
      <c r="H70" s="2435">
        <v>3.5</v>
      </c>
      <c r="I70" s="2435">
        <v>2.5</v>
      </c>
      <c r="J70" s="2435">
        <v>1.5</v>
      </c>
      <c r="K70" s="140"/>
      <c r="L70" s="140"/>
      <c r="M70" s="2037"/>
      <c r="N70" s="2037"/>
      <c r="O70" s="2037"/>
    </row>
    <row r="71" spans="2:15" s="2413" customFormat="1" ht="13.5" hidden="1" customHeight="1">
      <c r="D71" s="2314"/>
      <c r="E71" s="2037"/>
      <c r="F71" s="140"/>
      <c r="G71" s="2441" t="s">
        <v>2505</v>
      </c>
      <c r="H71" s="2435">
        <v>4</v>
      </c>
      <c r="I71" s="2435">
        <v>3</v>
      </c>
      <c r="J71" s="2435">
        <v>2</v>
      </c>
      <c r="K71" s="140"/>
      <c r="L71" s="140"/>
      <c r="M71" s="2037"/>
      <c r="N71" s="2037"/>
      <c r="O71" s="2037"/>
    </row>
    <row r="72" spans="2:15" s="2413" customFormat="1" ht="13.5" hidden="1" customHeight="1">
      <c r="D72" s="2314"/>
      <c r="E72" s="2037"/>
      <c r="F72" s="140"/>
      <c r="G72" s="2441" t="s">
        <v>2506</v>
      </c>
      <c r="H72" s="2435">
        <v>4.5</v>
      </c>
      <c r="I72" s="2435">
        <v>3.5</v>
      </c>
      <c r="J72" s="2435">
        <v>2.5</v>
      </c>
      <c r="K72" s="140"/>
      <c r="L72" s="140"/>
      <c r="M72" s="2037"/>
      <c r="N72" s="2037"/>
      <c r="O72" s="2037"/>
    </row>
    <row r="73" spans="2:15" s="2413" customFormat="1" ht="13.5" hidden="1" customHeight="1">
      <c r="D73" s="2314"/>
      <c r="E73" s="2037"/>
      <c r="F73" s="140"/>
      <c r="G73" s="2443">
        <v>4</v>
      </c>
      <c r="H73" s="2435">
        <v>5</v>
      </c>
      <c r="I73" s="2435">
        <v>4</v>
      </c>
      <c r="J73" s="2435">
        <v>3</v>
      </c>
      <c r="K73" s="140"/>
      <c r="L73" s="140"/>
      <c r="M73" s="2037"/>
      <c r="N73" s="2037"/>
      <c r="O73" s="2037"/>
    </row>
    <row r="74" spans="2:15" ht="14.25" hidden="1" customHeight="1">
      <c r="F74" s="1123" t="s">
        <v>1807</v>
      </c>
      <c r="G74" s="2038"/>
      <c r="H74" s="2038"/>
      <c r="I74" s="2039"/>
      <c r="J74" s="1308"/>
      <c r="K74" s="1309"/>
    </row>
    <row r="75" spans="2:15" ht="14.25" hidden="1" customHeight="1" thickBot="1">
      <c r="B75" t="s">
        <v>1096</v>
      </c>
      <c r="F75" s="1045" t="s">
        <v>619</v>
      </c>
      <c r="G75" s="904"/>
      <c r="H75" s="905"/>
      <c r="I75" s="906" t="s">
        <v>1121</v>
      </c>
      <c r="J75" s="907">
        <v>0.5</v>
      </c>
      <c r="K75" s="1046"/>
      <c r="L75" s="1046"/>
      <c r="M75" s="1046"/>
      <c r="N75" s="1046"/>
      <c r="O75" s="916"/>
    </row>
    <row r="76" spans="2:15" ht="14.25" hidden="1" customHeight="1" thickBot="1">
      <c r="B76" s="1190">
        <v>0</v>
      </c>
      <c r="F76" s="910">
        <v>0</v>
      </c>
      <c r="G76" s="997" t="s">
        <v>1613</v>
      </c>
      <c r="H76" s="997"/>
      <c r="I76" s="997"/>
      <c r="J76" s="997"/>
      <c r="K76" s="997"/>
      <c r="L76" s="997"/>
      <c r="M76" s="1011"/>
      <c r="N76" s="1026" t="s">
        <v>1092</v>
      </c>
      <c r="O76" s="916"/>
    </row>
    <row r="77" spans="2:15" ht="13.5" hidden="1" customHeight="1">
      <c r="B77" s="1" t="s">
        <v>2355</v>
      </c>
      <c r="C77" s="1">
        <v>1</v>
      </c>
      <c r="F77" s="1318" t="str">
        <f>IF(F76=$S$15,"",IF(ROUNDDOWN(F76,0)=$S$10,$U$10,$T$10))</f>
        <v/>
      </c>
      <c r="G77" s="919" t="s">
        <v>1788</v>
      </c>
      <c r="H77" s="1346"/>
      <c r="I77" s="1346"/>
      <c r="J77" s="1346"/>
      <c r="K77" s="1346"/>
      <c r="L77" s="1346"/>
      <c r="M77" s="1346"/>
      <c r="N77" s="3750"/>
      <c r="O77" s="3995"/>
    </row>
    <row r="78" spans="2:15" ht="13.5" hidden="1" customHeight="1">
      <c r="B78" s="1">
        <v>2</v>
      </c>
      <c r="C78" s="1">
        <v>3</v>
      </c>
      <c r="F78" s="1319" t="str">
        <f>IF(F76=$S$15,"",IF(ROUNDDOWN(F76,0)=$S$11,$U$11,$T$11))</f>
        <v/>
      </c>
      <c r="G78" s="926" t="s">
        <v>1828</v>
      </c>
      <c r="H78" s="1346"/>
      <c r="I78" s="1346"/>
      <c r="J78" s="1346"/>
      <c r="K78" s="1346"/>
      <c r="L78" s="1346"/>
      <c r="M78" s="1346"/>
      <c r="N78" s="3996"/>
      <c r="O78" s="3997"/>
    </row>
    <row r="79" spans="2:15" ht="13.5" hidden="1" customHeight="1">
      <c r="B79" s="1">
        <v>3</v>
      </c>
      <c r="C79" s="1">
        <v>3</v>
      </c>
      <c r="F79" s="1319" t="str">
        <f>IF(F76=$S$15,"",IF(ROUNDDOWN(F76,0)=$S$12,$U$12,$T$12))</f>
        <v/>
      </c>
      <c r="G79" s="926" t="s">
        <v>1829</v>
      </c>
      <c r="H79" s="1346"/>
      <c r="I79" s="1346"/>
      <c r="J79" s="1346"/>
      <c r="K79" s="1346"/>
      <c r="L79" s="1346"/>
      <c r="M79" s="1346"/>
      <c r="N79" s="3996"/>
      <c r="O79" s="3997"/>
    </row>
    <row r="80" spans="2:15" ht="13.5" hidden="1" customHeight="1">
      <c r="B80" s="1">
        <v>4</v>
      </c>
      <c r="C80" s="1">
        <v>4</v>
      </c>
      <c r="F80" s="1319" t="str">
        <f>IF(F76=$S$15,"",IF(ROUNDDOWN(F76,0)=$S$13,$U$13,$T$13))</f>
        <v/>
      </c>
      <c r="G80" s="926" t="s">
        <v>2958</v>
      </c>
      <c r="H80" s="1346"/>
      <c r="I80" s="1346"/>
      <c r="J80" s="1346"/>
      <c r="K80" s="1346"/>
      <c r="L80" s="1346"/>
      <c r="M80" s="1346"/>
      <c r="N80" s="3996"/>
      <c r="O80" s="3997"/>
    </row>
    <row r="81" spans="2:15" ht="13.5" hidden="1" customHeight="1">
      <c r="B81" s="1">
        <v>5</v>
      </c>
      <c r="C81" s="1">
        <v>5</v>
      </c>
      <c r="F81" s="1320" t="str">
        <f>IF(F76=$S$15,"",IF(ROUNDDOWN(F76,0)=$S$14,$U$14,$T$14))</f>
        <v/>
      </c>
      <c r="G81" s="937" t="s">
        <v>2959</v>
      </c>
      <c r="H81" s="938"/>
      <c r="I81" s="938"/>
      <c r="J81" s="938"/>
      <c r="K81" s="938"/>
      <c r="L81" s="938"/>
      <c r="M81" s="938"/>
      <c r="N81" s="3998"/>
      <c r="O81" s="3999"/>
    </row>
    <row r="82" spans="2:15" ht="13.5" hidden="1" customHeight="1">
      <c r="B82" s="940">
        <v>0</v>
      </c>
      <c r="C82" s="940">
        <v>0</v>
      </c>
    </row>
    <row r="83" spans="2:15" ht="14.25" hidden="1" customHeight="1">
      <c r="F83" s="1123" t="s">
        <v>1953</v>
      </c>
      <c r="G83" s="1308"/>
      <c r="H83" s="1308" t="s">
        <v>1118</v>
      </c>
      <c r="I83" s="1308"/>
    </row>
    <row r="84" spans="2:15" ht="13.5" hidden="1" customHeight="1"/>
    <row r="85" spans="2:15" ht="15.75" hidden="1" customHeight="1">
      <c r="F85" s="1123" t="s">
        <v>1954</v>
      </c>
      <c r="G85" s="1342"/>
      <c r="H85" s="1123"/>
      <c r="I85" s="1309"/>
      <c r="K85" s="1309"/>
    </row>
    <row r="86" spans="2:15" ht="14.25" hidden="1" customHeight="1" thickBot="1">
      <c r="B86" t="s">
        <v>1096</v>
      </c>
      <c r="F86" s="1045" t="s">
        <v>619</v>
      </c>
      <c r="G86" s="904"/>
      <c r="H86" s="905"/>
      <c r="I86" s="906" t="s">
        <v>1121</v>
      </c>
      <c r="J86" s="907">
        <v>0.5</v>
      </c>
      <c r="K86" s="1046"/>
      <c r="L86" s="1046"/>
      <c r="M86" s="1046"/>
      <c r="N86" s="1046"/>
      <c r="O86" s="916"/>
    </row>
    <row r="87" spans="2:15" ht="14.25" hidden="1" customHeight="1" thickBot="1">
      <c r="B87" s="1190">
        <v>0</v>
      </c>
      <c r="F87" s="910">
        <v>0</v>
      </c>
      <c r="G87" s="997" t="s">
        <v>1613</v>
      </c>
      <c r="H87" s="997"/>
      <c r="I87" s="997"/>
      <c r="J87" s="997"/>
      <c r="K87" s="997"/>
      <c r="L87" s="997"/>
      <c r="M87" s="1011"/>
      <c r="N87" s="1026" t="s">
        <v>1092</v>
      </c>
      <c r="O87" s="916"/>
    </row>
    <row r="88" spans="2:15" ht="13.5" hidden="1" customHeight="1">
      <c r="B88" s="1" t="s">
        <v>2355</v>
      </c>
      <c r="C88" s="1">
        <v>1</v>
      </c>
      <c r="F88" s="1318" t="str">
        <f>IF(F87=$S$15,"",IF(ROUNDDOWN(F87,0)=$S$10,$U$10,$T$10))</f>
        <v/>
      </c>
      <c r="G88" s="919" t="s">
        <v>1788</v>
      </c>
      <c r="H88" s="1346"/>
      <c r="I88" s="1346"/>
      <c r="J88" s="1346"/>
      <c r="K88" s="1346"/>
      <c r="L88" s="1346"/>
      <c r="M88" s="1346"/>
      <c r="N88" s="3750" t="s">
        <v>2960</v>
      </c>
      <c r="O88" s="3995"/>
    </row>
    <row r="89" spans="2:15" ht="13.5" hidden="1" customHeight="1">
      <c r="B89" s="1">
        <v>2</v>
      </c>
      <c r="C89" s="1">
        <v>3</v>
      </c>
      <c r="F89" s="1319" t="str">
        <f>IF(F87=$S$15,"",IF(ROUNDDOWN(F87,0)=$S$11,$U$11,$T$11))</f>
        <v/>
      </c>
      <c r="G89" s="926" t="s">
        <v>1830</v>
      </c>
      <c r="H89" s="1346"/>
      <c r="I89" s="1346"/>
      <c r="J89" s="1346"/>
      <c r="K89" s="1346"/>
      <c r="L89" s="1346"/>
      <c r="M89" s="1346"/>
      <c r="N89" s="3996"/>
      <c r="O89" s="3997"/>
    </row>
    <row r="90" spans="2:15" ht="13.5" hidden="1" customHeight="1">
      <c r="B90" s="1">
        <v>3</v>
      </c>
      <c r="C90" s="1">
        <v>3</v>
      </c>
      <c r="F90" s="1319" t="str">
        <f>IF(F87=$S$15,"",IF(ROUNDDOWN(F87,0)=$S$12,$U$12,$T$12))</f>
        <v/>
      </c>
      <c r="G90" s="926" t="s">
        <v>1955</v>
      </c>
      <c r="H90" s="1346"/>
      <c r="I90" s="1346"/>
      <c r="J90" s="1346"/>
      <c r="K90" s="1346"/>
      <c r="L90" s="1346"/>
      <c r="M90" s="1346"/>
      <c r="N90" s="3996"/>
      <c r="O90" s="3997"/>
    </row>
    <row r="91" spans="2:15" ht="13.5" hidden="1" customHeight="1">
      <c r="B91" s="1">
        <v>4</v>
      </c>
      <c r="C91" s="1">
        <v>4</v>
      </c>
      <c r="F91" s="1319" t="str">
        <f>IF(F87=$S$15,"",IF(ROUNDDOWN(F87,0)=$S$13,$U$13,$T$13))</f>
        <v/>
      </c>
      <c r="G91" s="926" t="s">
        <v>2961</v>
      </c>
      <c r="H91" s="1346"/>
      <c r="I91" s="1346"/>
      <c r="J91" s="1346"/>
      <c r="K91" s="1346"/>
      <c r="L91" s="1346"/>
      <c r="M91" s="1346"/>
      <c r="N91" s="3996"/>
      <c r="O91" s="3997"/>
    </row>
    <row r="92" spans="2:15" ht="13.5" hidden="1" customHeight="1">
      <c r="B92" s="1">
        <v>5</v>
      </c>
      <c r="C92" s="1">
        <v>5</v>
      </c>
      <c r="F92" s="1320" t="str">
        <f>IF(F87=$S$15,"",IF(ROUNDDOWN(F87,0)=$S$14,$U$14,$T$14))</f>
        <v/>
      </c>
      <c r="G92" s="937" t="s">
        <v>2962</v>
      </c>
      <c r="H92" s="938"/>
      <c r="I92" s="938"/>
      <c r="J92" s="938"/>
      <c r="K92" s="938"/>
      <c r="L92" s="938"/>
      <c r="M92" s="938"/>
      <c r="N92" s="3998"/>
      <c r="O92" s="3999"/>
    </row>
    <row r="93" spans="2:15" ht="13.5" hidden="1" customHeight="1">
      <c r="B93" s="940">
        <v>0</v>
      </c>
      <c r="C93" s="940">
        <v>0</v>
      </c>
    </row>
    <row r="94" spans="2:15" ht="14.25" hidden="1" customHeight="1">
      <c r="F94" s="1123" t="s">
        <v>1956</v>
      </c>
      <c r="H94" s="1308" t="s">
        <v>1118</v>
      </c>
      <c r="I94" s="1308"/>
    </row>
    <row r="95" spans="2:15" ht="13.5" hidden="1" customHeight="1">
      <c r="I95" s="1308"/>
    </row>
    <row r="96" spans="2:15" ht="14.25" hidden="1" customHeight="1">
      <c r="F96" s="1123" t="s">
        <v>1957</v>
      </c>
      <c r="H96" s="1308" t="s">
        <v>1118</v>
      </c>
      <c r="I96" s="1308"/>
    </row>
    <row r="97" spans="1:21" hidden="1"/>
    <row r="98" spans="1:21" s="2521" customFormat="1" ht="18" customHeight="1">
      <c r="B98" s="2522">
        <v>3</v>
      </c>
      <c r="C98" s="2522"/>
      <c r="D98" s="2598"/>
      <c r="E98" s="2514"/>
      <c r="F98" s="2513"/>
      <c r="G98" s="2598" t="s">
        <v>2980</v>
      </c>
      <c r="H98" s="2513"/>
      <c r="I98" s="2513"/>
      <c r="J98" s="2513"/>
      <c r="K98" s="2513"/>
      <c r="L98" s="2513"/>
      <c r="M98" s="2513"/>
      <c r="N98" s="2513"/>
      <c r="O98" s="2513"/>
    </row>
    <row r="99" spans="1:21" s="2521" customFormat="1" ht="18" customHeight="1" thickBot="1">
      <c r="B99" s="2522">
        <v>4</v>
      </c>
      <c r="C99" s="2522"/>
      <c r="D99" s="2598"/>
      <c r="E99" s="2514"/>
      <c r="F99" s="2513"/>
      <c r="G99" s="2610" t="s">
        <v>34</v>
      </c>
      <c r="H99" s="2611"/>
      <c r="I99" s="2611"/>
      <c r="J99" s="2611"/>
      <c r="K99" s="2611"/>
      <c r="L99" s="2611"/>
      <c r="M99" s="2611"/>
      <c r="N99" s="2611"/>
      <c r="O99" s="2612"/>
    </row>
    <row r="100" spans="1:21" s="2521" customFormat="1" ht="18" customHeight="1" thickBot="1">
      <c r="A100" s="3991"/>
      <c r="B100" s="3991"/>
      <c r="C100" s="3991"/>
      <c r="D100" s="3991"/>
      <c r="E100" s="3991"/>
      <c r="F100" s="3992"/>
      <c r="G100" s="2520" t="str">
        <f>IF(COUNTIF(H104:H107,"○")&gt;=1,"○","")</f>
        <v/>
      </c>
      <c r="H100" s="3736" t="s">
        <v>3186</v>
      </c>
      <c r="I100" s="3736"/>
      <c r="J100" s="3736"/>
      <c r="K100" s="3736"/>
      <c r="L100" s="3736"/>
      <c r="M100" s="3736"/>
      <c r="N100" s="3736"/>
      <c r="O100" s="3737"/>
    </row>
    <row r="101" spans="1:21" s="2521" customFormat="1" ht="18" customHeight="1" thickBot="1">
      <c r="A101" s="3991"/>
      <c r="B101" s="3991"/>
      <c r="C101" s="3991"/>
      <c r="D101" s="3991"/>
      <c r="E101" s="3991"/>
      <c r="F101" s="3992"/>
      <c r="G101" s="2520" t="s">
        <v>2195</v>
      </c>
      <c r="H101" s="3736" t="s">
        <v>3187</v>
      </c>
      <c r="I101" s="3736"/>
      <c r="J101" s="3736"/>
      <c r="K101" s="3736"/>
      <c r="L101" s="3736"/>
      <c r="M101" s="3736"/>
      <c r="N101" s="3736"/>
      <c r="O101" s="3737"/>
    </row>
    <row r="102" spans="1:21" s="2445" customFormat="1" ht="14.25" customHeight="1">
      <c r="D102" s="2307"/>
      <c r="E102" s="140"/>
      <c r="F102" s="1123"/>
      <c r="G102" s="140"/>
      <c r="H102" s="1308"/>
      <c r="I102" s="1308"/>
      <c r="J102" s="140"/>
      <c r="K102" s="140"/>
      <c r="L102" s="140"/>
      <c r="M102" s="140"/>
      <c r="N102" s="140"/>
      <c r="O102" s="140"/>
    </row>
    <row r="103" spans="1:21" s="2521" customFormat="1" ht="18" customHeight="1" thickBot="1">
      <c r="B103" s="2522"/>
      <c r="C103" s="2522"/>
      <c r="D103" s="2522"/>
      <c r="G103" s="2881" t="s">
        <v>830</v>
      </c>
      <c r="H103" s="2882" t="s">
        <v>952</v>
      </c>
      <c r="I103" s="2883" t="s">
        <v>831</v>
      </c>
      <c r="J103" s="2884"/>
      <c r="K103" s="2884"/>
      <c r="L103" s="2884"/>
      <c r="M103" s="2884"/>
      <c r="N103" s="2884"/>
      <c r="O103" s="2885"/>
      <c r="Q103" s="2522"/>
      <c r="R103" s="2522"/>
      <c r="S103" s="2522"/>
      <c r="T103" s="2522"/>
      <c r="U103" s="2522"/>
    </row>
    <row r="104" spans="1:21" s="2521" customFormat="1" ht="24.75" customHeight="1">
      <c r="B104" s="2522"/>
      <c r="C104" s="2522"/>
      <c r="D104" s="2522"/>
      <c r="G104" s="2886">
        <v>1</v>
      </c>
      <c r="H104" s="2609" t="s">
        <v>2195</v>
      </c>
      <c r="I104" s="2887" t="s">
        <v>3188</v>
      </c>
      <c r="J104" s="2607"/>
      <c r="K104" s="2607"/>
      <c r="L104" s="2607"/>
      <c r="M104" s="2607"/>
      <c r="N104" s="2607"/>
      <c r="O104" s="2608"/>
      <c r="Q104" s="2522"/>
      <c r="R104" s="2522"/>
      <c r="S104" s="2522"/>
      <c r="T104" s="2522"/>
      <c r="U104" s="2522"/>
    </row>
    <row r="105" spans="1:21" s="2521" customFormat="1" ht="25.5" customHeight="1">
      <c r="B105" s="2522"/>
      <c r="C105" s="2522"/>
      <c r="D105" s="2522"/>
      <c r="G105" s="2604">
        <v>2</v>
      </c>
      <c r="H105" s="2888" t="s">
        <v>2195</v>
      </c>
      <c r="I105" s="3929" t="s">
        <v>3189</v>
      </c>
      <c r="J105" s="4005"/>
      <c r="K105" s="4005"/>
      <c r="L105" s="4005"/>
      <c r="M105" s="4005"/>
      <c r="N105" s="4005"/>
      <c r="O105" s="4006"/>
      <c r="Q105" s="2522"/>
      <c r="R105" s="2522"/>
      <c r="S105" s="2522"/>
      <c r="T105" s="2522"/>
      <c r="U105" s="2522"/>
    </row>
    <row r="106" spans="1:21" s="2521" customFormat="1" ht="25.5" customHeight="1">
      <c r="B106" s="2522"/>
      <c r="C106" s="2522"/>
      <c r="D106" s="2522"/>
      <c r="G106" s="2604">
        <v>3</v>
      </c>
      <c r="H106" s="2888"/>
      <c r="I106" s="3929" t="s">
        <v>3190</v>
      </c>
      <c r="J106" s="4003"/>
      <c r="K106" s="4003"/>
      <c r="L106" s="4003"/>
      <c r="M106" s="4003"/>
      <c r="N106" s="4003"/>
      <c r="O106" s="4004"/>
      <c r="Q106" s="2522"/>
      <c r="R106" s="2522"/>
      <c r="S106" s="2522"/>
      <c r="T106" s="2522"/>
      <c r="U106" s="2522"/>
    </row>
    <row r="107" spans="1:21" s="2521" customFormat="1" ht="24.75" customHeight="1" thickBot="1">
      <c r="B107" s="2522"/>
      <c r="C107" s="2522"/>
      <c r="D107" s="2522"/>
      <c r="G107" s="2889">
        <v>4</v>
      </c>
      <c r="H107" s="2890"/>
      <c r="I107" s="2891" t="s">
        <v>3191</v>
      </c>
      <c r="J107" s="2892"/>
      <c r="K107" s="2892"/>
      <c r="L107" s="2892"/>
      <c r="M107" s="2892"/>
      <c r="N107" s="2892"/>
      <c r="O107" s="2893"/>
      <c r="Q107" s="2522"/>
      <c r="R107" s="2522"/>
      <c r="S107" s="2522"/>
      <c r="T107" s="2522"/>
      <c r="U107" s="2522"/>
    </row>
    <row r="108" spans="1:21" s="2445" customFormat="1">
      <c r="D108" s="2307"/>
      <c r="E108" s="140"/>
      <c r="F108" s="140"/>
      <c r="G108" s="140"/>
      <c r="H108" s="140"/>
      <c r="I108" s="140"/>
      <c r="J108" s="140"/>
      <c r="K108" s="140"/>
      <c r="L108" s="140"/>
      <c r="M108" s="140"/>
      <c r="N108" s="140"/>
      <c r="O108" s="140"/>
    </row>
    <row r="109" spans="1:21" ht="15.75">
      <c r="D109" s="1311">
        <v>4</v>
      </c>
      <c r="E109" s="1123" t="s">
        <v>2115</v>
      </c>
      <c r="F109" s="1123"/>
      <c r="G109" s="1274"/>
      <c r="H109" s="1274"/>
      <c r="I109" s="1274"/>
      <c r="J109" s="896"/>
      <c r="K109" s="896"/>
      <c r="L109" s="896"/>
      <c r="M109" s="896"/>
      <c r="N109" s="896"/>
      <c r="O109" s="896"/>
    </row>
    <row r="110" spans="1:21" ht="15.75">
      <c r="D110" s="1311">
        <v>4.0999999999999996</v>
      </c>
      <c r="E110" s="1123" t="s">
        <v>823</v>
      </c>
      <c r="F110" s="1123"/>
      <c r="J110" s="979" t="str">
        <f>IF(OR(F112=0,AND(J111=0,O111=0)),$R$3,"")</f>
        <v/>
      </c>
    </row>
    <row r="111" spans="1:21" ht="15" thickBot="1">
      <c r="D111" s="2312"/>
      <c r="E111" s="1312"/>
      <c r="F111" s="1045"/>
      <c r="G111" s="904"/>
      <c r="H111" s="905"/>
      <c r="I111" s="906" t="s">
        <v>1121</v>
      </c>
      <c r="J111" s="907">
        <f>重み!M140</f>
        <v>0.49212598425196852</v>
      </c>
      <c r="K111" s="1045"/>
      <c r="L111" s="904"/>
      <c r="M111" s="905"/>
      <c r="N111" s="906" t="s">
        <v>1121</v>
      </c>
      <c r="O111" s="909">
        <f>重み!M143</f>
        <v>7.874015748031496E-3</v>
      </c>
    </row>
    <row r="112" spans="1:21" ht="26.25" customHeight="1" thickBot="1">
      <c r="D112" s="888"/>
      <c r="E112" s="1308"/>
      <c r="F112" s="910">
        <v>3</v>
      </c>
      <c r="G112" s="2151" t="s">
        <v>2116</v>
      </c>
      <c r="H112" s="1350"/>
      <c r="I112" s="1350"/>
      <c r="J112" s="1350"/>
      <c r="K112" s="910">
        <v>3</v>
      </c>
      <c r="L112" s="914" t="s">
        <v>1556</v>
      </c>
      <c r="M112" s="915"/>
      <c r="N112" s="915"/>
      <c r="O112" s="916"/>
    </row>
    <row r="113" spans="2:15" ht="26.25" customHeight="1">
      <c r="B113" s="1" t="s">
        <v>2355</v>
      </c>
      <c r="C113" s="1" t="s">
        <v>2355</v>
      </c>
      <c r="D113" s="888"/>
      <c r="E113" s="1308"/>
      <c r="F113" s="917" t="str">
        <f>IF(F112=$S$15,$T$10,IF(ROUNDDOWN(F112,0)=$S$10,$U$10,$T$10))</f>
        <v>　レベル　1</v>
      </c>
      <c r="G113" s="1149" t="s">
        <v>1496</v>
      </c>
      <c r="H113" s="2132"/>
      <c r="I113" s="2132"/>
      <c r="J113" s="2132"/>
      <c r="K113" s="917" t="str">
        <f>IF(K112=$S$15,$T$10,IF(ROUNDDOWN(K112,0)=$S$10,$U$10,$T$10))</f>
        <v>　レベル　1</v>
      </c>
      <c r="L113" s="2133" t="s">
        <v>1496</v>
      </c>
      <c r="M113" s="2140"/>
      <c r="N113" s="2140"/>
      <c r="O113" s="2141"/>
    </row>
    <row r="114" spans="2:15" ht="26.25" customHeight="1">
      <c r="B114" s="1" t="s">
        <v>2355</v>
      </c>
      <c r="C114" s="1" t="s">
        <v>2355</v>
      </c>
      <c r="D114" s="888"/>
      <c r="E114" s="1308"/>
      <c r="F114" s="1069" t="str">
        <f>IF(F112=$S$15,$T$11,IF(ROUNDDOWN(F112,0)=$S$11,$U$11,$T$11))</f>
        <v>　レベル　2</v>
      </c>
      <c r="G114" s="1152" t="s">
        <v>1496</v>
      </c>
      <c r="H114" s="1346"/>
      <c r="I114" s="1346"/>
      <c r="J114" s="1346"/>
      <c r="K114" s="1069" t="str">
        <f>IF(K112=$S$15,$T$11,IF(ROUNDDOWN(K112,0)=$S$11,$U$11,$T$11))</f>
        <v>　レベル　2</v>
      </c>
      <c r="L114" s="1152" t="s">
        <v>1496</v>
      </c>
      <c r="M114" s="1153"/>
      <c r="N114" s="1153"/>
      <c r="O114" s="1154"/>
    </row>
    <row r="115" spans="2:15" ht="28.5" customHeight="1">
      <c r="B115" s="1">
        <v>3</v>
      </c>
      <c r="C115" s="1">
        <v>3</v>
      </c>
      <c r="D115" s="888"/>
      <c r="E115" s="1308"/>
      <c r="F115" s="1069" t="str">
        <f>IF(F112=$S$15,$T$12,IF(ROUNDDOWN(F112,0)=$S$12,$U$12,$T$12))</f>
        <v>■レベル　3</v>
      </c>
      <c r="G115" s="3716" t="s">
        <v>2963</v>
      </c>
      <c r="H115" s="4001"/>
      <c r="I115" s="4001"/>
      <c r="J115" s="4002"/>
      <c r="K115" s="1069" t="str">
        <f>IF(K112=$S$15,$T$12,IF(ROUNDDOWN(K112,0)=$S$12,$U$12,$T$12))</f>
        <v>■レベル　3</v>
      </c>
      <c r="L115" s="1152" t="s">
        <v>170</v>
      </c>
      <c r="M115" s="1153"/>
      <c r="N115" s="1153"/>
      <c r="O115" s="1154"/>
    </row>
    <row r="116" spans="2:15" ht="33.75" customHeight="1">
      <c r="B116" s="1">
        <v>4</v>
      </c>
      <c r="C116" s="1">
        <v>4</v>
      </c>
      <c r="D116" s="888"/>
      <c r="E116" s="1308"/>
      <c r="F116" s="1069" t="str">
        <f>IF(F112=$S$15,$T$13,IF(ROUNDDOWN(F112,0)=$S$13,$U$13,$T$13))</f>
        <v>　レベル　4</v>
      </c>
      <c r="G116" s="3716" t="s">
        <v>2964</v>
      </c>
      <c r="H116" s="4001"/>
      <c r="I116" s="4001"/>
      <c r="J116" s="4002"/>
      <c r="K116" s="1069" t="str">
        <f>IF(K112=$S$15,$T$13,IF(ROUNDDOWN(K112,0)=$S$13,$U$13,$T$13))</f>
        <v>　レベル　4</v>
      </c>
      <c r="L116" s="2142" t="s">
        <v>2965</v>
      </c>
      <c r="M116" s="2143"/>
      <c r="N116" s="2143"/>
      <c r="O116" s="2144"/>
    </row>
    <row r="117" spans="2:15" ht="33.75" customHeight="1">
      <c r="B117" s="1">
        <v>5</v>
      </c>
      <c r="C117" s="1">
        <v>5</v>
      </c>
      <c r="D117" s="888"/>
      <c r="E117" s="1308"/>
      <c r="F117" s="933" t="str">
        <f>IF(F112=$S$15,$T$14,IF(ROUNDDOWN(F112,0)=$S$14,$U$14,$T$14))</f>
        <v>　レベル　5</v>
      </c>
      <c r="G117" s="3757" t="s">
        <v>2966</v>
      </c>
      <c r="H117" s="3841"/>
      <c r="I117" s="3841"/>
      <c r="J117" s="3842"/>
      <c r="K117" s="933" t="str">
        <f>IF(K112=$S$15,$T$14,IF(ROUNDDOWN(K112,0)=$S$14,$U$14,$T$14))</f>
        <v>　レベル　5</v>
      </c>
      <c r="L117" s="3757" t="s">
        <v>2967</v>
      </c>
      <c r="M117" s="3841"/>
      <c r="N117" s="3841"/>
      <c r="O117" s="3842"/>
    </row>
    <row r="118" spans="2:15" ht="15.75">
      <c r="B118" s="940">
        <v>0</v>
      </c>
      <c r="C118" s="940">
        <v>0</v>
      </c>
      <c r="D118" s="888"/>
      <c r="E118" s="1308"/>
      <c r="F118" s="546"/>
      <c r="G118" s="889" t="s">
        <v>2968</v>
      </c>
      <c r="H118" s="546"/>
      <c r="I118" s="546"/>
      <c r="J118" s="546"/>
      <c r="K118" s="889"/>
      <c r="L118" s="889"/>
      <c r="M118" s="889"/>
      <c r="N118" s="889"/>
      <c r="O118" s="889"/>
    </row>
    <row r="119" spans="2:15" ht="15.75">
      <c r="B119" s="1364"/>
      <c r="C119" s="1364"/>
      <c r="D119" s="888"/>
      <c r="E119" s="1308"/>
      <c r="F119" s="546"/>
      <c r="G119" s="546" t="s">
        <v>2969</v>
      </c>
      <c r="H119" s="546"/>
      <c r="I119" s="546"/>
      <c r="J119" s="546"/>
      <c r="K119" s="889"/>
      <c r="L119" s="889"/>
      <c r="M119" s="889"/>
      <c r="N119" s="889"/>
      <c r="O119" s="889"/>
    </row>
    <row r="120" spans="2:15" ht="18.75" customHeight="1">
      <c r="D120" s="888"/>
      <c r="E120" s="1308"/>
      <c r="F120" s="546" t="s">
        <v>2359</v>
      </c>
      <c r="G120" s="546"/>
      <c r="H120" s="546"/>
      <c r="I120" s="546"/>
      <c r="J120" s="889"/>
      <c r="K120" s="889"/>
      <c r="L120" s="889"/>
      <c r="M120" s="889"/>
      <c r="N120" s="889"/>
      <c r="O120" s="889"/>
    </row>
    <row r="121" spans="2:15" ht="16.5" customHeight="1">
      <c r="D121" s="888"/>
      <c r="E121" s="1308"/>
      <c r="F121" s="4013" t="s">
        <v>2360</v>
      </c>
      <c r="G121" s="4014"/>
      <c r="H121" s="1351" t="s">
        <v>2361</v>
      </c>
      <c r="I121" s="1352"/>
      <c r="J121" s="1351" t="s">
        <v>2362</v>
      </c>
      <c r="K121" s="1352"/>
      <c r="L121" s="1352"/>
      <c r="M121" s="1353"/>
      <c r="N121" s="1354" t="s">
        <v>2363</v>
      </c>
      <c r="O121" s="1355"/>
    </row>
    <row r="122" spans="2:15" ht="16.5" customHeight="1">
      <c r="D122" s="888"/>
      <c r="E122" s="1308"/>
      <c r="F122" s="4000">
        <v>1</v>
      </c>
      <c r="G122" s="4000" t="s">
        <v>2364</v>
      </c>
      <c r="H122" s="1357" t="s">
        <v>2365</v>
      </c>
      <c r="I122" s="1358"/>
      <c r="J122" s="1357" t="s">
        <v>327</v>
      </c>
      <c r="K122" s="1358"/>
      <c r="L122" s="1358"/>
      <c r="M122" s="1359"/>
      <c r="N122" s="1357"/>
      <c r="O122" s="1359"/>
    </row>
    <row r="123" spans="2:15" ht="16.5" customHeight="1">
      <c r="D123" s="888"/>
      <c r="E123" s="1308"/>
      <c r="F123" s="4000"/>
      <c r="G123" s="4000"/>
      <c r="H123" s="1357" t="s">
        <v>2367</v>
      </c>
      <c r="I123" s="1358"/>
      <c r="J123" s="1357" t="s">
        <v>2368</v>
      </c>
      <c r="K123" s="1358"/>
      <c r="L123" s="1358"/>
      <c r="M123" s="1359"/>
      <c r="N123" s="1357" t="s">
        <v>2369</v>
      </c>
      <c r="O123" s="1359"/>
    </row>
    <row r="124" spans="2:15" ht="16.5" customHeight="1">
      <c r="D124" s="888"/>
      <c r="E124" s="1308"/>
      <c r="F124" s="4000"/>
      <c r="G124" s="4000"/>
      <c r="H124" s="1357" t="s">
        <v>2370</v>
      </c>
      <c r="I124" s="1358"/>
      <c r="J124" s="1357" t="s">
        <v>2209</v>
      </c>
      <c r="K124" s="1358"/>
      <c r="L124" s="1358"/>
      <c r="M124" s="1359"/>
      <c r="N124" s="1357"/>
      <c r="O124" s="1359"/>
    </row>
    <row r="125" spans="2:15" ht="16.5" customHeight="1">
      <c r="D125" s="888"/>
      <c r="E125" s="1308"/>
      <c r="F125" s="4015">
        <v>2</v>
      </c>
      <c r="G125" s="4015" t="s">
        <v>1042</v>
      </c>
      <c r="H125" s="1357" t="s">
        <v>2210</v>
      </c>
      <c r="I125" s="1358"/>
      <c r="J125" s="1357" t="s">
        <v>2211</v>
      </c>
      <c r="K125" s="1358"/>
      <c r="L125" s="1358"/>
      <c r="M125" s="1359"/>
      <c r="N125" s="1357"/>
      <c r="O125" s="1359"/>
    </row>
    <row r="126" spans="2:15" ht="16.5" customHeight="1">
      <c r="D126" s="888"/>
      <c r="E126" s="1308"/>
      <c r="F126" s="4016"/>
      <c r="G126" s="4016"/>
      <c r="H126" s="1357" t="s">
        <v>2212</v>
      </c>
      <c r="I126" s="1358"/>
      <c r="J126" s="1357" t="s">
        <v>2970</v>
      </c>
      <c r="K126" s="1358"/>
      <c r="L126" s="1358"/>
      <c r="M126" s="1359"/>
      <c r="N126" s="1357"/>
      <c r="O126" s="1359"/>
    </row>
    <row r="127" spans="2:15" ht="16.5" customHeight="1">
      <c r="D127" s="888"/>
      <c r="E127" s="1308"/>
      <c r="F127" s="4016"/>
      <c r="G127" s="4016"/>
      <c r="H127" s="1357" t="s">
        <v>157</v>
      </c>
      <c r="I127" s="1358"/>
      <c r="J127" s="1357" t="s">
        <v>2970</v>
      </c>
      <c r="K127" s="1358"/>
      <c r="L127" s="1358"/>
      <c r="M127" s="1359"/>
      <c r="N127" s="1357"/>
      <c r="O127" s="1359"/>
    </row>
    <row r="128" spans="2:15" ht="16.5" customHeight="1">
      <c r="D128" s="888"/>
      <c r="E128" s="1308"/>
      <c r="F128" s="4017"/>
      <c r="G128" s="4017"/>
      <c r="H128" s="1357" t="s">
        <v>1378</v>
      </c>
      <c r="I128" s="1358"/>
      <c r="J128" s="1357" t="s">
        <v>1379</v>
      </c>
      <c r="K128" s="1358"/>
      <c r="L128" s="1358"/>
      <c r="M128" s="1359"/>
      <c r="N128" s="1357"/>
      <c r="O128" s="1359"/>
    </row>
    <row r="129" spans="2:15" ht="16.5" customHeight="1">
      <c r="D129" s="888"/>
      <c r="E129" s="1308"/>
      <c r="F129" s="1356">
        <v>3</v>
      </c>
      <c r="G129" s="1356" t="s">
        <v>1043</v>
      </c>
      <c r="H129" s="1357" t="s">
        <v>1380</v>
      </c>
      <c r="I129" s="1358"/>
      <c r="J129" s="1357"/>
      <c r="K129" s="1358"/>
      <c r="L129" s="1358"/>
      <c r="M129" s="1359"/>
      <c r="N129" s="1357"/>
      <c r="O129" s="1359"/>
    </row>
    <row r="130" spans="2:15" ht="16.5" customHeight="1">
      <c r="D130" s="888"/>
      <c r="E130" s="1308"/>
      <c r="F130" s="1356">
        <v>4</v>
      </c>
      <c r="G130" s="1356" t="s">
        <v>1044</v>
      </c>
      <c r="H130" s="1357" t="s">
        <v>1381</v>
      </c>
      <c r="I130" s="1358"/>
      <c r="J130" s="1357" t="s">
        <v>2971</v>
      </c>
      <c r="K130" s="1358"/>
      <c r="L130" s="1358"/>
      <c r="M130" s="1359"/>
      <c r="N130" s="1357"/>
      <c r="O130" s="1359"/>
    </row>
    <row r="131" spans="2:15" ht="16.5" customHeight="1">
      <c r="D131" s="888"/>
      <c r="E131" s="1308"/>
      <c r="F131" s="4000">
        <v>5</v>
      </c>
      <c r="G131" s="4000" t="s">
        <v>1045</v>
      </c>
      <c r="H131" s="1357" t="s">
        <v>2365</v>
      </c>
      <c r="I131" s="1358"/>
      <c r="J131" s="1357" t="s">
        <v>2366</v>
      </c>
      <c r="K131" s="1358"/>
      <c r="L131" s="1358"/>
      <c r="M131" s="1359"/>
      <c r="N131" s="1357"/>
      <c r="O131" s="1359"/>
    </row>
    <row r="132" spans="2:15" ht="16.5" customHeight="1">
      <c r="D132" s="888"/>
      <c r="E132" s="1308"/>
      <c r="F132" s="4000"/>
      <c r="G132" s="4000"/>
      <c r="H132" s="1357" t="s">
        <v>2367</v>
      </c>
      <c r="I132" s="1358"/>
      <c r="J132" s="1357" t="s">
        <v>2368</v>
      </c>
      <c r="K132" s="1358"/>
      <c r="L132" s="1358"/>
      <c r="M132" s="1359"/>
      <c r="N132" s="1357"/>
      <c r="O132" s="1359"/>
    </row>
    <row r="133" spans="2:15" ht="16.5" customHeight="1">
      <c r="D133" s="888"/>
      <c r="E133" s="1308"/>
      <c r="F133" s="4000"/>
      <c r="G133" s="4000"/>
      <c r="H133" s="1357" t="s">
        <v>2370</v>
      </c>
      <c r="I133" s="1358"/>
      <c r="J133" s="1357" t="s">
        <v>2209</v>
      </c>
      <c r="K133" s="1358"/>
      <c r="L133" s="1358"/>
      <c r="M133" s="1359"/>
      <c r="N133" s="1357"/>
      <c r="O133" s="1359"/>
    </row>
    <row r="134" spans="2:15" ht="16.5" customHeight="1">
      <c r="D134" s="888"/>
      <c r="E134" s="1308"/>
      <c r="F134" s="1356">
        <v>6</v>
      </c>
      <c r="G134" s="1356" t="s">
        <v>328</v>
      </c>
      <c r="H134" s="1357" t="s">
        <v>329</v>
      </c>
      <c r="I134" s="1358"/>
      <c r="J134" s="1357" t="s">
        <v>330</v>
      </c>
      <c r="K134" s="1358"/>
      <c r="L134" s="1358"/>
      <c r="M134" s="1359"/>
      <c r="N134" s="1357"/>
      <c r="O134" s="1359"/>
    </row>
    <row r="135" spans="2:15" ht="16.5" customHeight="1">
      <c r="D135" s="888"/>
      <c r="E135" s="1308"/>
      <c r="F135" s="4000">
        <v>7</v>
      </c>
      <c r="G135" s="4000" t="s">
        <v>1382</v>
      </c>
      <c r="H135" s="1357" t="s">
        <v>331</v>
      </c>
      <c r="I135" s="1358"/>
      <c r="J135" s="1357" t="s">
        <v>332</v>
      </c>
      <c r="K135" s="1358"/>
      <c r="L135" s="1358"/>
      <c r="M135" s="1359"/>
      <c r="N135" s="1357"/>
      <c r="O135" s="1359"/>
    </row>
    <row r="136" spans="2:15" ht="16.5" customHeight="1">
      <c r="D136" s="888"/>
      <c r="E136" s="1308"/>
      <c r="F136" s="4000"/>
      <c r="G136" s="4000"/>
      <c r="H136" s="1357" t="s">
        <v>1383</v>
      </c>
      <c r="I136" s="1358"/>
      <c r="J136" s="1357" t="s">
        <v>333</v>
      </c>
      <c r="K136" s="1358"/>
      <c r="L136" s="1358"/>
      <c r="M136" s="1359"/>
      <c r="N136" s="1357"/>
      <c r="O136" s="1359"/>
    </row>
    <row r="137" spans="2:15" ht="16.5" customHeight="1">
      <c r="D137" s="888"/>
      <c r="E137" s="1308"/>
      <c r="F137" s="4000"/>
      <c r="G137" s="4000"/>
      <c r="H137" s="1357" t="s">
        <v>1384</v>
      </c>
      <c r="I137" s="1358"/>
      <c r="J137" s="1357" t="s">
        <v>334</v>
      </c>
      <c r="K137" s="1358"/>
      <c r="L137" s="1358"/>
      <c r="M137" s="1359"/>
      <c r="N137" s="1357"/>
      <c r="O137" s="1359"/>
    </row>
    <row r="138" spans="2:15" ht="16.5" customHeight="1">
      <c r="D138" s="888"/>
      <c r="E138" s="1308"/>
      <c r="F138" s="4018"/>
      <c r="G138" s="4018"/>
      <c r="H138" s="1357" t="s">
        <v>283</v>
      </c>
      <c r="I138" s="1358"/>
      <c r="J138" s="1357" t="s">
        <v>3896</v>
      </c>
      <c r="K138" s="1358"/>
      <c r="L138" s="1358"/>
      <c r="M138" s="1359"/>
      <c r="N138" s="1357"/>
      <c r="O138" s="1359"/>
    </row>
    <row r="139" spans="2:15" ht="18" customHeight="1">
      <c r="D139" s="888"/>
      <c r="E139" s="546"/>
      <c r="F139" s="546"/>
      <c r="G139" s="546" t="s">
        <v>2972</v>
      </c>
      <c r="H139" s="546"/>
      <c r="I139" s="546"/>
      <c r="J139" s="889"/>
      <c r="K139" s="889"/>
      <c r="L139" s="889"/>
      <c r="M139" s="889"/>
      <c r="N139" s="889"/>
      <c r="O139" s="889"/>
    </row>
    <row r="140" spans="2:15" ht="18" customHeight="1">
      <c r="D140" s="1311">
        <v>4.2</v>
      </c>
      <c r="E140" s="1123" t="s">
        <v>827</v>
      </c>
      <c r="F140" s="2134"/>
      <c r="J140" s="979" t="str">
        <f>IF(OR(F142=0,AND(J141=0,O141=0)),$R$3,"")</f>
        <v/>
      </c>
      <c r="K140" s="2134"/>
      <c r="L140" s="2137"/>
      <c r="M140" s="2136"/>
      <c r="N140" s="2136"/>
      <c r="O140" s="979"/>
    </row>
    <row r="141" spans="2:15" ht="15" thickBot="1">
      <c r="D141" s="2312"/>
      <c r="E141" s="1312"/>
      <c r="F141" s="1045"/>
      <c r="G141" s="904"/>
      <c r="H141" s="905"/>
      <c r="I141" s="906" t="s">
        <v>1121</v>
      </c>
      <c r="J141" s="907">
        <f>重み!M141</f>
        <v>0.49212598425196852</v>
      </c>
      <c r="K141" s="1045"/>
      <c r="L141" s="904"/>
      <c r="M141" s="905"/>
      <c r="N141" s="906" t="s">
        <v>1121</v>
      </c>
      <c r="O141" s="909">
        <f>重み!M144</f>
        <v>7.874015748031496E-3</v>
      </c>
    </row>
    <row r="142" spans="2:15" ht="25.5" customHeight="1" thickBot="1">
      <c r="D142" s="888"/>
      <c r="E142" s="1308"/>
      <c r="F142" s="910">
        <v>3</v>
      </c>
      <c r="G142" s="997" t="s">
        <v>2116</v>
      </c>
      <c r="H142" s="997"/>
      <c r="I142" s="997"/>
      <c r="J142" s="997"/>
      <c r="K142" s="910">
        <v>3</v>
      </c>
      <c r="L142" s="914" t="s">
        <v>1556</v>
      </c>
      <c r="M142" s="915"/>
      <c r="N142" s="915"/>
      <c r="O142" s="916"/>
    </row>
    <row r="143" spans="2:15" ht="25.5" customHeight="1">
      <c r="B143" s="1">
        <v>1</v>
      </c>
      <c r="C143" s="1">
        <v>1</v>
      </c>
      <c r="D143" s="888"/>
      <c r="E143" s="1308"/>
      <c r="F143" s="922" t="str">
        <f>IF(F142=$S$15,$T$10,IF(AND($O$3&lt;&gt;$U$3,ROUNDDOWN(F142,0)=$S$10),$U$10,$T$10))</f>
        <v>　レベル　1</v>
      </c>
      <c r="G143" s="2133" t="s">
        <v>656</v>
      </c>
      <c r="H143" s="1346"/>
      <c r="I143" s="1346"/>
      <c r="J143" s="1346"/>
      <c r="K143" s="917" t="str">
        <f>IF(K142=$S$15,$T$10,IF(ROUNDDOWN(K142,0)=$S$10,$U$10,$T$10))</f>
        <v>　レベル　1</v>
      </c>
      <c r="L143" s="2133" t="s">
        <v>1313</v>
      </c>
      <c r="M143" s="2140"/>
      <c r="N143" s="2140"/>
      <c r="O143" s="2141"/>
    </row>
    <row r="144" spans="2:15" ht="25.5" customHeight="1">
      <c r="B144" s="1">
        <v>2</v>
      </c>
      <c r="C144" s="1">
        <v>2</v>
      </c>
      <c r="D144" s="888"/>
      <c r="E144" s="1308"/>
      <c r="F144" s="922" t="str">
        <f>IF(F142=$S$15,$T$11,IF(AND($O$3&lt;&gt;$U$3,ROUNDDOWN(F142,0)=$S$11),$U$11,$T$11))</f>
        <v>　レベル　2</v>
      </c>
      <c r="G144" s="1152" t="s">
        <v>2973</v>
      </c>
      <c r="H144" s="1346"/>
      <c r="I144" s="1346"/>
      <c r="J144" s="1346"/>
      <c r="K144" s="1069" t="str">
        <f>IF(K142=$S$15,$T$11,IF(ROUNDDOWN(K142,0)=$S$11,$U$11,$T$11))</f>
        <v>　レベル　2</v>
      </c>
      <c r="L144" s="1152" t="s">
        <v>1496</v>
      </c>
      <c r="M144" s="1153"/>
      <c r="N144" s="1153"/>
      <c r="O144" s="1154"/>
    </row>
    <row r="145" spans="2:15" ht="25.5" customHeight="1">
      <c r="B145" s="1">
        <v>3</v>
      </c>
      <c r="C145" s="1">
        <v>3</v>
      </c>
      <c r="D145" s="888"/>
      <c r="E145" s="1308"/>
      <c r="F145" s="922" t="str">
        <f>IF(F142=$S$15,$T$12,IF(AND($O$3&lt;&gt;$U$3,ROUNDDOWN(F142,0)=$S$12),$U$12,$T$12))</f>
        <v>■レベル　3</v>
      </c>
      <c r="G145" s="1152" t="s">
        <v>2974</v>
      </c>
      <c r="H145" s="1346"/>
      <c r="I145" s="1346"/>
      <c r="J145" s="1346"/>
      <c r="K145" s="1069" t="str">
        <f>IF(K142=$S$15,$T$12,IF(ROUNDDOWN(K142,0)=$S$12,$U$12,$T$12))</f>
        <v>■レベル　3</v>
      </c>
      <c r="L145" s="1152" t="s">
        <v>1314</v>
      </c>
      <c r="M145" s="1153"/>
      <c r="N145" s="1153"/>
      <c r="O145" s="1154"/>
    </row>
    <row r="146" spans="2:15" ht="33" customHeight="1">
      <c r="B146" s="1">
        <v>4</v>
      </c>
      <c r="C146" s="1">
        <v>4</v>
      </c>
      <c r="D146" s="888"/>
      <c r="E146" s="1308"/>
      <c r="F146" s="922" t="str">
        <f>IF(F142=$S$15,$T$13,IF(AND($O$3&lt;&gt;$U$3,ROUNDDOWN(F142,0)=$S$13),$U$13,$T$13))</f>
        <v>　レベル　4</v>
      </c>
      <c r="G146" s="3754" t="s">
        <v>2975</v>
      </c>
      <c r="H146" s="3980"/>
      <c r="I146" s="3980"/>
      <c r="J146" s="3981"/>
      <c r="K146" s="1069" t="str">
        <f>IF(K142=$S$15,$T$13,IF(ROUNDDOWN(K142,0)=$S$13,$U$13,$T$13))</f>
        <v>　レベル　4</v>
      </c>
      <c r="L146" s="3754" t="s">
        <v>2976</v>
      </c>
      <c r="M146" s="3980"/>
      <c r="N146" s="3980"/>
      <c r="O146" s="3981"/>
    </row>
    <row r="147" spans="2:15" ht="34.5" customHeight="1">
      <c r="B147" s="1">
        <v>5</v>
      </c>
      <c r="C147" s="1">
        <v>5</v>
      </c>
      <c r="D147" s="888"/>
      <c r="E147" s="1308"/>
      <c r="F147" s="933" t="str">
        <f>IF(F142=$S$15,$T$14,IF(AND($O$3&lt;&gt;$U$3,ROUNDDOWN(F142,0)=$S$14),$U$14,$T$14))</f>
        <v>　レベル　5</v>
      </c>
      <c r="G147" s="3757" t="s">
        <v>2977</v>
      </c>
      <c r="H147" s="3841"/>
      <c r="I147" s="3841"/>
      <c r="J147" s="3842"/>
      <c r="K147" s="933" t="str">
        <f>IF(K142=$S$15,$T$14,IF(ROUNDDOWN(K142,0)=$S$14,$U$14,$T$14))</f>
        <v>　レベル　5</v>
      </c>
      <c r="L147" s="3757" t="s">
        <v>2978</v>
      </c>
      <c r="M147" s="3841"/>
      <c r="N147" s="3841"/>
      <c r="O147" s="3842"/>
    </row>
    <row r="148" spans="2:15" ht="9.75" customHeight="1">
      <c r="B148" s="940">
        <v>0</v>
      </c>
      <c r="C148" s="940">
        <v>0</v>
      </c>
      <c r="D148" s="888"/>
    </row>
    <row r="149" spans="2:15" ht="14.25" hidden="1">
      <c r="E149" s="2135"/>
      <c r="K149" s="2134"/>
      <c r="L149" s="2139"/>
      <c r="M149" s="2148"/>
      <c r="N149" s="2148"/>
      <c r="O149" s="979"/>
    </row>
    <row r="150" spans="2:15" ht="14.25" hidden="1">
      <c r="E150" s="2138"/>
    </row>
    <row r="151" spans="2:15" ht="15.75" hidden="1">
      <c r="D151" s="888"/>
      <c r="E151" s="2138"/>
    </row>
    <row r="152" spans="2:15" ht="15.75" hidden="1">
      <c r="B152" s="1">
        <v>1</v>
      </c>
      <c r="C152" s="1" t="s">
        <v>1787</v>
      </c>
      <c r="D152" s="888"/>
      <c r="E152" s="2138"/>
    </row>
    <row r="153" spans="2:15" ht="15.75" hidden="1">
      <c r="B153" s="1" t="s">
        <v>1787</v>
      </c>
      <c r="C153" s="1" t="s">
        <v>1787</v>
      </c>
      <c r="D153" s="888"/>
      <c r="E153" s="2138"/>
    </row>
    <row r="154" spans="2:15" ht="15.75" hidden="1">
      <c r="B154" s="1">
        <v>3</v>
      </c>
      <c r="C154" s="1">
        <v>3</v>
      </c>
      <c r="D154" s="888"/>
      <c r="E154" s="2138"/>
    </row>
    <row r="155" spans="2:15" ht="27" hidden="1" customHeight="1">
      <c r="B155" s="1">
        <v>4</v>
      </c>
      <c r="C155" s="1">
        <v>4</v>
      </c>
      <c r="D155" s="888"/>
      <c r="E155" s="2138"/>
    </row>
    <row r="156" spans="2:15" ht="34.5" hidden="1" customHeight="1">
      <c r="B156" s="1">
        <v>5</v>
      </c>
      <c r="C156" s="1">
        <v>5</v>
      </c>
      <c r="D156" s="888"/>
      <c r="E156" s="2138"/>
    </row>
    <row r="157" spans="2:15" ht="15.75" hidden="1">
      <c r="B157" s="940">
        <v>0</v>
      </c>
      <c r="C157" s="940">
        <v>0</v>
      </c>
      <c r="D157" s="888"/>
      <c r="E157" s="2145"/>
      <c r="F157" s="2146"/>
      <c r="G157" s="2146"/>
      <c r="H157" s="2147"/>
      <c r="I157" s="2147"/>
      <c r="J157" s="2147"/>
      <c r="K157" s="2147"/>
      <c r="L157" s="2147"/>
      <c r="M157" s="2147"/>
      <c r="N157" s="2147"/>
      <c r="O157" s="2147"/>
    </row>
  </sheetData>
  <sheetProtection algorithmName="SHA-512" hashValue="u9BIbzatKPeDirwOVAPKFddnHMm6g1sxc06IjrlSmi/P7WI2c6nujHquhiVhJq2CpGSp+Uz2Vd3JXOHlfKTvJg==" saltValue="29ZoxqPSvzxsR6bb79dWvg==" spinCount="100000" sheet="1" objects="1" scenarios="1" selectLockedCells="1"/>
  <mergeCells count="64">
    <mergeCell ref="G147:J147"/>
    <mergeCell ref="M13:O13"/>
    <mergeCell ref="M14:O14"/>
    <mergeCell ref="L147:O147"/>
    <mergeCell ref="L117:O117"/>
    <mergeCell ref="N88:O92"/>
    <mergeCell ref="F121:G121"/>
    <mergeCell ref="F122:F124"/>
    <mergeCell ref="G122:G124"/>
    <mergeCell ref="F125:F128"/>
    <mergeCell ref="G125:G128"/>
    <mergeCell ref="F135:F138"/>
    <mergeCell ref="L146:O146"/>
    <mergeCell ref="G135:G138"/>
    <mergeCell ref="G146:J146"/>
    <mergeCell ref="F131:F133"/>
    <mergeCell ref="G131:G133"/>
    <mergeCell ref="G117:J117"/>
    <mergeCell ref="G115:J115"/>
    <mergeCell ref="G116:J116"/>
    <mergeCell ref="H32:J32"/>
    <mergeCell ref="I106:O106"/>
    <mergeCell ref="I105:O105"/>
    <mergeCell ref="M32:O32"/>
    <mergeCell ref="G48:H52"/>
    <mergeCell ref="I48:J52"/>
    <mergeCell ref="K48:L52"/>
    <mergeCell ref="M47:O47"/>
    <mergeCell ref="H33:J33"/>
    <mergeCell ref="H31:J31"/>
    <mergeCell ref="A100:F100"/>
    <mergeCell ref="H100:O100"/>
    <mergeCell ref="A101:F101"/>
    <mergeCell ref="H101:O101"/>
    <mergeCell ref="I40:O40"/>
    <mergeCell ref="I41:O41"/>
    <mergeCell ref="I39:O39"/>
    <mergeCell ref="N77:O81"/>
    <mergeCell ref="M31:O31"/>
    <mergeCell ref="I9:J9"/>
    <mergeCell ref="K9:L9"/>
    <mergeCell ref="M10:O10"/>
    <mergeCell ref="M11:O11"/>
    <mergeCell ref="M12:O12"/>
    <mergeCell ref="N1:O1"/>
    <mergeCell ref="M18:O18"/>
    <mergeCell ref="M19:O19"/>
    <mergeCell ref="M20:O20"/>
    <mergeCell ref="M21:O21"/>
    <mergeCell ref="K29:K30"/>
    <mergeCell ref="F16:F17"/>
    <mergeCell ref="G16:G17"/>
    <mergeCell ref="G12:H12"/>
    <mergeCell ref="I12:J12"/>
    <mergeCell ref="K12:L12"/>
    <mergeCell ref="G13:H13"/>
    <mergeCell ref="G14:H14"/>
    <mergeCell ref="I14:J14"/>
    <mergeCell ref="I13:J13"/>
    <mergeCell ref="K13:L13"/>
    <mergeCell ref="K14:L14"/>
    <mergeCell ref="H18:I22"/>
    <mergeCell ref="J18:K22"/>
    <mergeCell ref="L16:L17"/>
  </mergeCells>
  <phoneticPr fontId="21"/>
  <conditionalFormatting sqref="F112 F142 F8 F87 F76">
    <cfRule type="expression" dxfId="106" priority="12" stopIfTrue="1">
      <formula>AND(OR(F8&lt;1,F8&gt;5),F8&lt;&gt;0)</formula>
    </cfRule>
    <cfRule type="expression" dxfId="105" priority="13" stopIfTrue="1">
      <formula>$J7&gt;0</formula>
    </cfRule>
  </conditionalFormatting>
  <conditionalFormatting sqref="L28">
    <cfRule type="expression" dxfId="104" priority="14" stopIfTrue="1">
      <formula>AND(OR(L28&lt;1,L28&gt;5),L28&lt;&gt;0)</formula>
    </cfRule>
    <cfRule type="expression" dxfId="103" priority="15" stopIfTrue="1">
      <formula>O28&gt;0</formula>
    </cfRule>
  </conditionalFormatting>
  <conditionalFormatting sqref="K112">
    <cfRule type="expression" dxfId="102" priority="18" stopIfTrue="1">
      <formula>AND(OR(K112&lt;1,K112&gt;5),K112&lt;&gt;0)</formula>
    </cfRule>
    <cfRule type="expression" dxfId="101" priority="19" stopIfTrue="1">
      <formula>$O$111</formula>
    </cfRule>
  </conditionalFormatting>
  <conditionalFormatting sqref="I36">
    <cfRule type="expression" dxfId="100" priority="20" stopIfTrue="1">
      <formula>$J$28&gt;0</formula>
    </cfRule>
  </conditionalFormatting>
  <conditionalFormatting sqref="F16">
    <cfRule type="cellIs" dxfId="99" priority="22" stopIfTrue="1" operator="equal">
      <formula>#REF!</formula>
    </cfRule>
    <cfRule type="cellIs" dxfId="98" priority="23" stopIfTrue="1" operator="equal">
      <formula>#REF!</formula>
    </cfRule>
    <cfRule type="cellIs" dxfId="97" priority="24" stopIfTrue="1" operator="equal">
      <formula>#REF!</formula>
    </cfRule>
  </conditionalFormatting>
  <conditionalFormatting sqref="H39:H42">
    <cfRule type="expression" dxfId="96" priority="25" stopIfTrue="1">
      <formula>AND($J$28&gt;0,$J$27&gt;0.001)</formula>
    </cfRule>
  </conditionalFormatting>
  <conditionalFormatting sqref="K142">
    <cfRule type="expression" dxfId="95" priority="42" stopIfTrue="1">
      <formula>AND(OR(K142&lt;1,K142&gt;5),K142&lt;&gt;0)</formula>
    </cfRule>
    <cfRule type="expression" dxfId="94" priority="43" stopIfTrue="1">
      <formula>$O141&gt;0</formula>
    </cfRule>
  </conditionalFormatting>
  <conditionalFormatting sqref="H104:H107">
    <cfRule type="expression" dxfId="93" priority="8" stopIfTrue="1">
      <formula>$O$46&gt;0</formula>
    </cfRule>
  </conditionalFormatting>
  <conditionalFormatting sqref="G101">
    <cfRule type="expression" dxfId="92" priority="7" stopIfTrue="1">
      <formula>$O$46&gt;0</formula>
    </cfRule>
  </conditionalFormatting>
  <conditionalFormatting sqref="H23">
    <cfRule type="expression" dxfId="91" priority="6">
      <formula>$K$16+$O$16&gt;0</formula>
    </cfRule>
  </conditionalFormatting>
  <conditionalFormatting sqref="F23">
    <cfRule type="expression" dxfId="90" priority="4" stopIfTrue="1">
      <formula>AND(OR(F23&lt;1,F23&gt;5),F23&lt;&gt;0)</formula>
    </cfRule>
    <cfRule type="expression" dxfId="89" priority="5" stopIfTrue="1">
      <formula>AND(J15&gt;0,H23=$T$4)</formula>
    </cfRule>
  </conditionalFormatting>
  <conditionalFormatting sqref="H34">
    <cfRule type="expression" dxfId="88" priority="3">
      <formula>$K$16+$O$16&gt;0</formula>
    </cfRule>
  </conditionalFormatting>
  <conditionalFormatting sqref="F34">
    <cfRule type="expression" dxfId="87" priority="1" stopIfTrue="1">
      <formula>AND(OR(F34&lt;1,F34&gt;5),F34&lt;&gt;0)</formula>
    </cfRule>
    <cfRule type="expression" dxfId="86" priority="2" stopIfTrue="1">
      <formula>AND(J27&gt;0,H34=$T$4)</formula>
    </cfRule>
  </conditionalFormatting>
  <dataValidations xWindow="404" yWindow="579" count="9">
    <dataValidation type="list" allowBlank="1" showInputMessage="1" sqref="F8 F87 F76 F142" xr:uid="{00000000-0002-0000-0900-000000000000}">
      <formula1>$B9:$B14</formula1>
    </dataValidation>
    <dataValidation type="list" allowBlank="1" showInputMessage="1" sqref="F112" xr:uid="{00000000-0002-0000-0900-000001000000}">
      <formula1>$B$113:$B$118</formula1>
    </dataValidation>
    <dataValidation allowBlank="1" showInputMessage="1" sqref="I36" xr:uid="{00000000-0002-0000-0900-000002000000}"/>
    <dataValidation type="list" allowBlank="1" showInputMessage="1" sqref="K112" xr:uid="{00000000-0002-0000-0900-000003000000}">
      <formula1>$C$113:$C$118</formula1>
    </dataValidation>
    <dataValidation type="list" allowBlank="1" showInputMessage="1" showErrorMessage="1" sqref="H23 H34" xr:uid="{00000000-0002-0000-0900-000004000000}">
      <formula1>$T$3:$T$4</formula1>
    </dataValidation>
    <dataValidation type="list" allowBlank="1" showInputMessage="1" sqref="L28" xr:uid="{00000000-0002-0000-0900-000005000000}">
      <formula1>$C$29:$C$33</formula1>
    </dataValidation>
    <dataValidation type="list" allowBlank="1" showInputMessage="1" showErrorMessage="1" sqref="H39:H42 WVP104:WVP107 WLT104:WLT107 WBX104:WBX107 VSB104:VSB107 VIF104:VIF107 UYJ104:UYJ107 UON104:UON107 UER104:UER107 TUV104:TUV107 TKZ104:TKZ107 TBD104:TBD107 SRH104:SRH107 SHL104:SHL107 RXP104:RXP107 RNT104:RNT107 RDX104:RDX107 QUB104:QUB107 QKF104:QKF107 QAJ104:QAJ107 PQN104:PQN107 PGR104:PGR107 OWV104:OWV107 OMZ104:OMZ107 ODD104:ODD107 NTH104:NTH107 NJL104:NJL107 MZP104:MZP107 MPT104:MPT107 MFX104:MFX107 LWB104:LWB107 LMF104:LMF107 LCJ104:LCJ107 KSN104:KSN107 KIR104:KIR107 JYV104:JYV107 JOZ104:JOZ107 JFD104:JFD107 IVH104:IVH107 ILL104:ILL107 IBP104:IBP107 HRT104:HRT107 HHX104:HHX107 GYB104:GYB107 GOF104:GOF107 GEJ104:GEJ107 FUN104:FUN107 FKR104:FKR107 FAV104:FAV107 EQZ104:EQZ107 EHD104:EHD107 DXH104:DXH107 DNL104:DNL107 DDP104:DDP107 CTT104:CTT107 CJX104:CJX107 CAB104:CAB107 BQF104:BQF107 BGJ104:BGJ107 AWN104:AWN107 AMR104:AMR107 ACV104:ACV107 SZ104:SZ107 JD104:JD107 H104:H107 JC100:JC101 WVO100:WVO101 WLS100:WLS101 WBW100:WBW101 VSA100:VSA101 VIE100:VIE101 UYI100:UYI101 UOM100:UOM101 UEQ100:UEQ101 TUU100:TUU101 TKY100:TKY101 TBC100:TBC101 SRG100:SRG101 SHK100:SHK101 RXO100:RXO101 RNS100:RNS101 RDW100:RDW101 QUA100:QUA101 QKE100:QKE101 QAI100:QAI101 PQM100:PQM101 PGQ100:PGQ101 OWU100:OWU101 OMY100:OMY101 ODC100:ODC101 NTG100:NTG101 NJK100:NJK101 MZO100:MZO101 MPS100:MPS101 MFW100:MFW101 LWA100:LWA101 LME100:LME101 LCI100:LCI101 KSM100:KSM101 KIQ100:KIQ101 JYU100:JYU101 JOY100:JOY101 JFC100:JFC101 IVG100:IVG101 ILK100:ILK101 IBO100:IBO101 HRS100:HRS101 HHW100:HHW101 GYA100:GYA101 GOE100:GOE101 GEI100:GEI101 FUM100:FUM101 FKQ100:FKQ101 FAU100:FAU101 EQY100:EQY101 EHC100:EHC101 DXG100:DXG101 DNK100:DNK101 DDO100:DDO101 CTS100:CTS101 CJW100:CJW101 CAA100:CAA101 BQE100:BQE101 BGI100:BGI101 AWM100:AWM101 AMQ100:AMQ101 ACU100:ACU101 SY100:SY101 G101" xr:uid="{00000000-0002-0000-0900-000006000000}">
      <formula1>"○,　"</formula1>
    </dataValidation>
    <dataValidation type="list" allowBlank="1" showInputMessage="1" sqref="K142" xr:uid="{00000000-0002-0000-0900-000007000000}">
      <formula1>$B152:$B157</formula1>
    </dataValidation>
    <dataValidation type="list" allowBlank="1" showInputMessage="1" sqref="F23 F34" xr:uid="{00000000-0002-0000-0900-000008000000}">
      <formula1>$B18:$B23</formula1>
    </dataValidation>
  </dataValidations>
  <printOptions horizontalCentered="1"/>
  <pageMargins left="0.59055118110236227" right="0.59055118110236227" top="0.78740157480314965" bottom="0.59055118110236227" header="0.51181102362204722" footer="0.51181102362204722"/>
  <pageSetup paperSize="9" scale="68" fitToHeight="7" orientation="portrait" verticalDpi="4294967293" r:id="rId1"/>
  <headerFooter alignWithMargins="0">
    <oddHeader>&amp;L&amp;F&amp;R&amp;A</oddHeader>
    <oddFooter>&amp;C&amp;P/&amp;N</oddFooter>
  </headerFooter>
  <rowBreaks count="2" manualBreakCount="2">
    <brk id="43" min="2" max="15" man="1"/>
    <brk id="108" min="2"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B130"/>
  <sheetViews>
    <sheetView showGridLines="0" zoomScaleNormal="100" zoomScaleSheetLayoutView="100" workbookViewId="0">
      <selection activeCell="H6" sqref="H6"/>
    </sheetView>
  </sheetViews>
  <sheetFormatPr defaultColWidth="0" defaultRowHeight="13.5" zeroHeight="1"/>
  <cols>
    <col min="1" max="2" width="1.375" style="2445" customWidth="1"/>
    <col min="3" max="3" width="2.125" style="2445" customWidth="1"/>
    <col min="4" max="4" width="2.5" style="2445" customWidth="1"/>
    <col min="5" max="5" width="10.75" style="2445" customWidth="1"/>
    <col min="6" max="6" width="9.625" style="2445" customWidth="1"/>
    <col min="7" max="7" width="9.25" style="2445" customWidth="1"/>
    <col min="8" max="8" width="9.5" style="2445" customWidth="1"/>
    <col min="9" max="9" width="1.25" style="2445" customWidth="1"/>
    <col min="10" max="10" width="9.875" style="2445" customWidth="1"/>
    <col min="11" max="11" width="7.875" style="2445" customWidth="1"/>
    <col min="12" max="13" width="9.5" style="2445" customWidth="1"/>
    <col min="14" max="14" width="8.875" style="2445" customWidth="1"/>
    <col min="15" max="15" width="2.375" style="2445" customWidth="1"/>
    <col min="16" max="16" width="8.875" style="2445" customWidth="1"/>
    <col min="17" max="17" width="2.125" style="2445" customWidth="1"/>
    <col min="18" max="18" width="1" style="2445" customWidth="1"/>
    <col min="19" max="19" width="23.5" style="2445" hidden="1" customWidth="1"/>
    <col min="20" max="20" width="13.375" style="2445" hidden="1" customWidth="1"/>
    <col min="21" max="21" width="6.75" style="2445" hidden="1" customWidth="1"/>
    <col min="22" max="22" width="9.125" style="2445" hidden="1" customWidth="1"/>
    <col min="23" max="23" width="13.875" style="2445" hidden="1" customWidth="1"/>
    <col min="24" max="24" width="12.75" style="2445" hidden="1" customWidth="1"/>
    <col min="25" max="25" width="6.75" style="2445" hidden="1" customWidth="1"/>
    <col min="26" max="26" width="6.5" style="2445" hidden="1" customWidth="1"/>
    <col min="27" max="27" width="13.875" style="2445" hidden="1" customWidth="1"/>
    <col min="28" max="28" width="12.75" style="2445" hidden="1" customWidth="1"/>
    <col min="29" max="16384" width="9" style="2445" hidden="1"/>
  </cols>
  <sheetData>
    <row r="1" spans="2:28" ht="9.75" customHeight="1" thickBot="1"/>
    <row r="2" spans="2:28" ht="25.5" customHeight="1">
      <c r="B2" s="2083"/>
      <c r="C2" s="2084" t="s">
        <v>3967</v>
      </c>
      <c r="D2" s="2085"/>
      <c r="E2" s="2085"/>
      <c r="F2" s="2086"/>
      <c r="G2" s="2086"/>
      <c r="H2" s="2087"/>
      <c r="I2" s="2085"/>
      <c r="J2" s="2088"/>
      <c r="K2" s="2088"/>
      <c r="L2" s="2088"/>
      <c r="M2" s="2089" t="s">
        <v>2215</v>
      </c>
      <c r="N2" s="3120" t="str">
        <f>メイン!C11</f>
        <v>○○ビル</v>
      </c>
      <c r="O2" s="3120"/>
      <c r="P2" s="3120"/>
      <c r="Q2" s="2090"/>
    </row>
    <row r="3" spans="2:28">
      <c r="B3" s="2095"/>
      <c r="C3" s="2096"/>
      <c r="D3" s="2096"/>
      <c r="E3" s="2096"/>
      <c r="F3" s="2096"/>
      <c r="G3" s="2096"/>
      <c r="H3" s="2096"/>
      <c r="I3" s="2096"/>
      <c r="J3" s="2096"/>
      <c r="K3" s="2096"/>
      <c r="L3" s="2096"/>
      <c r="M3" s="2096"/>
      <c r="N3" s="2096"/>
      <c r="O3" s="2096"/>
      <c r="P3" s="2096"/>
      <c r="Q3" s="2230"/>
    </row>
    <row r="4" spans="2:28" hidden="1">
      <c r="B4" s="2095"/>
      <c r="C4" s="2096"/>
      <c r="D4" s="2096"/>
      <c r="E4" s="2096"/>
      <c r="F4" s="2096"/>
      <c r="G4" s="2096"/>
      <c r="H4" s="2100"/>
      <c r="I4" s="2096"/>
      <c r="J4" s="2096"/>
      <c r="K4" s="2096"/>
      <c r="L4" s="2096"/>
      <c r="M4" s="2096"/>
      <c r="N4" s="2096"/>
      <c r="O4" s="2096"/>
      <c r="P4" s="2096"/>
      <c r="Q4" s="2230"/>
    </row>
    <row r="5" spans="2:28" ht="14.25" thickBot="1">
      <c r="B5" s="2095"/>
      <c r="C5" s="2231" t="s">
        <v>3968</v>
      </c>
      <c r="D5" s="2091" t="s">
        <v>3969</v>
      </c>
      <c r="E5" s="2096"/>
      <c r="F5" s="2096"/>
      <c r="G5" s="2096"/>
      <c r="H5" s="2096"/>
      <c r="I5" s="2096"/>
      <c r="J5" s="2096"/>
      <c r="K5" s="2096"/>
      <c r="L5" s="2096"/>
      <c r="M5" s="2096"/>
      <c r="N5" s="2096"/>
      <c r="O5" s="2096"/>
      <c r="P5" s="2096"/>
      <c r="Q5" s="2230"/>
      <c r="U5" s="2273">
        <f>IF($H$6&lt;=V10,U11,IF($H$6&lt;=V9,U10,IF($H$6&lt;=V8,U9,IF($H$6&lt;=V7,U8,1))))</f>
        <v>5</v>
      </c>
      <c r="W5" s="2445">
        <f>VLOOKUP($U$5,U7:X11,3)</f>
        <v>-10.000000000000002</v>
      </c>
      <c r="X5" s="2445">
        <f>VLOOKUP($U$5,U7:X11,4)</f>
        <v>13.000000000000002</v>
      </c>
      <c r="Y5" s="2273">
        <f>IF($H$6&lt;=Z10,Y11,IF($H$6&lt;=Z9,Y10,IF($H$6&lt;=Z8,Y9,IF($H$6&lt;=Z7,Y8,1))))</f>
        <v>5</v>
      </c>
      <c r="AA5" s="2445">
        <f>VLOOKUP($Y$5,Y7:AB11,3)</f>
        <v>-12.499999999999989</v>
      </c>
      <c r="AB5" s="2445">
        <f>VLOOKUP($Y$5,Y7:AB11,4)</f>
        <v>15.624999999999991</v>
      </c>
    </row>
    <row r="6" spans="2:28" ht="14.25" thickBot="1">
      <c r="B6" s="2095"/>
      <c r="C6" s="2096"/>
      <c r="D6" s="2091"/>
      <c r="E6" s="2091" t="s">
        <v>102</v>
      </c>
      <c r="F6" s="2091"/>
      <c r="G6" s="2245" t="s">
        <v>3970</v>
      </c>
      <c r="H6" s="3121"/>
      <c r="I6" s="2096"/>
      <c r="J6" s="3122" t="str">
        <f>メイン!F12</f>
        <v>６地域</v>
      </c>
      <c r="K6" s="2096"/>
      <c r="L6" s="3123" t="s">
        <v>3971</v>
      </c>
      <c r="M6" s="3124">
        <f>IF(H6="",1,IF(H6&lt;=V11,U11,IF(H6&gt;=V7,U7,H6*W5+X5)))</f>
        <v>1</v>
      </c>
      <c r="N6" s="2096"/>
      <c r="O6" s="2096"/>
      <c r="P6" s="2096"/>
      <c r="Q6" s="2230"/>
      <c r="T6" s="2445" t="s">
        <v>2425</v>
      </c>
      <c r="U6" s="1" t="s">
        <v>3972</v>
      </c>
      <c r="V6" s="1" t="s">
        <v>2045</v>
      </c>
      <c r="W6" s="2445" t="s">
        <v>2295</v>
      </c>
      <c r="X6" s="2445" t="s">
        <v>2296</v>
      </c>
      <c r="Y6" s="1" t="s">
        <v>3973</v>
      </c>
      <c r="Z6" s="1" t="str">
        <f>メイン!I18</f>
        <v>８地域</v>
      </c>
      <c r="AA6" s="2445" t="s">
        <v>2295</v>
      </c>
      <c r="AB6" s="2445" t="s">
        <v>2296</v>
      </c>
    </row>
    <row r="7" spans="2:28">
      <c r="B7" s="2095"/>
      <c r="C7" s="2096"/>
      <c r="D7" s="2096"/>
      <c r="E7" s="2096"/>
      <c r="F7" s="2096"/>
      <c r="G7" s="2096"/>
      <c r="H7" s="2096"/>
      <c r="I7" s="2096"/>
      <c r="J7" s="2096"/>
      <c r="K7" s="2096"/>
      <c r="L7" s="3123" t="s">
        <v>3974</v>
      </c>
      <c r="M7" s="3124">
        <f>IF(H6="",1,IF(H6&lt;=Z11,Y11,IF(H6&gt;=Z7,Y7,H6*AA5+AB5)))</f>
        <v>1</v>
      </c>
      <c r="N7" s="2096"/>
      <c r="O7" s="3125"/>
      <c r="P7" s="2096"/>
      <c r="Q7" s="3126"/>
      <c r="T7" s="2445" t="s">
        <v>2371</v>
      </c>
      <c r="U7" s="1">
        <v>1</v>
      </c>
      <c r="V7" s="1">
        <v>1.03</v>
      </c>
      <c r="W7" s="2273">
        <v>0</v>
      </c>
      <c r="X7" s="2273">
        <v>1</v>
      </c>
      <c r="Y7" s="1">
        <v>1</v>
      </c>
      <c r="Z7" s="1">
        <v>1.03</v>
      </c>
      <c r="AA7" s="2273">
        <v>0</v>
      </c>
      <c r="AB7" s="2273">
        <v>1</v>
      </c>
    </row>
    <row r="8" spans="2:28" ht="7.5" customHeight="1" thickBot="1">
      <c r="B8" s="2095"/>
      <c r="C8" s="2096"/>
      <c r="D8" s="2096"/>
      <c r="E8" s="2096"/>
      <c r="F8" s="2096"/>
      <c r="G8" s="2096"/>
      <c r="H8" s="2096"/>
      <c r="I8" s="2096"/>
      <c r="J8" s="2233"/>
      <c r="K8" s="2096"/>
      <c r="L8" s="2096"/>
      <c r="M8" s="2096"/>
      <c r="N8" s="2096"/>
      <c r="O8" s="2096"/>
      <c r="P8" s="2096"/>
      <c r="Q8" s="2230"/>
      <c r="T8" s="2445" t="s">
        <v>2372</v>
      </c>
      <c r="U8" s="1">
        <v>2</v>
      </c>
      <c r="V8" s="1">
        <v>1</v>
      </c>
      <c r="W8" s="2445">
        <f>(U8-U7)/(V8-V7)</f>
        <v>-33.333333333333307</v>
      </c>
      <c r="X8" s="2445">
        <f>U8-W8*V8</f>
        <v>35.333333333333307</v>
      </c>
      <c r="Y8" s="1">
        <v>2</v>
      </c>
      <c r="Z8" s="1">
        <v>1</v>
      </c>
      <c r="AA8" s="2445">
        <f>(Y8-Y7)/(Z8-Z7)</f>
        <v>-33.333333333333307</v>
      </c>
      <c r="AB8" s="2445">
        <f>Y8-AA8*Z8</f>
        <v>35.333333333333307</v>
      </c>
    </row>
    <row r="9" spans="2:28" ht="14.25" thickBot="1">
      <c r="B9" s="2095"/>
      <c r="C9" s="2096"/>
      <c r="D9" s="2096"/>
      <c r="E9" s="2091" t="s">
        <v>3975</v>
      </c>
      <c r="F9" s="2096"/>
      <c r="G9" s="2154" t="s">
        <v>520</v>
      </c>
      <c r="H9" s="3127" t="s">
        <v>2297</v>
      </c>
      <c r="I9" s="2096" t="s">
        <v>3976</v>
      </c>
      <c r="J9" s="2096"/>
      <c r="K9" s="2096"/>
      <c r="L9" s="2096"/>
      <c r="M9" s="2096"/>
      <c r="N9" s="2096"/>
      <c r="O9" s="2096"/>
      <c r="P9" s="2096"/>
      <c r="Q9" s="2230"/>
      <c r="T9" s="2445" t="s">
        <v>2297</v>
      </c>
      <c r="U9" s="1">
        <v>3</v>
      </c>
      <c r="V9" s="1">
        <v>0.97</v>
      </c>
      <c r="W9" s="2445">
        <f>(U9-U8)/(V9-V8)</f>
        <v>-33.333333333333307</v>
      </c>
      <c r="X9" s="2445">
        <f>U9-W9*V9</f>
        <v>35.333333333333307</v>
      </c>
      <c r="Y9" s="1">
        <v>3</v>
      </c>
      <c r="Z9" s="1">
        <v>0.97</v>
      </c>
      <c r="AA9" s="2445">
        <f>(Y9-Y8)/(Z9-Z8)</f>
        <v>-33.333333333333307</v>
      </c>
      <c r="AB9" s="2445">
        <f>Y9-AA9*Z9</f>
        <v>35.333333333333307</v>
      </c>
    </row>
    <row r="10" spans="2:28" ht="22.5" customHeight="1">
      <c r="B10" s="2095"/>
      <c r="C10" s="2096"/>
      <c r="D10" s="3123"/>
      <c r="E10" s="3128" t="s">
        <v>3977</v>
      </c>
      <c r="F10" s="4020" t="s">
        <v>3978</v>
      </c>
      <c r="G10" s="4020"/>
      <c r="H10" s="4020"/>
      <c r="I10" s="4020"/>
      <c r="J10" s="4020"/>
      <c r="K10" s="4020"/>
      <c r="L10" s="4020"/>
      <c r="M10" s="4020"/>
      <c r="N10" s="4020"/>
      <c r="O10" s="4020"/>
      <c r="P10" s="4020"/>
      <c r="Q10" s="2230"/>
      <c r="T10" s="2445" t="s">
        <v>2373</v>
      </c>
      <c r="U10" s="1">
        <v>4</v>
      </c>
      <c r="V10" s="1">
        <v>0.9</v>
      </c>
      <c r="W10" s="2445">
        <f>(U10-U9)/(V10-V9)</f>
        <v>-14.285714285714295</v>
      </c>
      <c r="X10" s="2445">
        <f>U10-W10*V10</f>
        <v>16.857142857142868</v>
      </c>
      <c r="Y10" s="1">
        <v>4</v>
      </c>
      <c r="Z10" s="1">
        <v>0.93</v>
      </c>
      <c r="AA10" s="2445">
        <f>(Y10-Y9)/(Z10-Z9)</f>
        <v>-25.000000000000046</v>
      </c>
      <c r="AB10" s="2445">
        <f>Y10-AA10*Z10</f>
        <v>27.250000000000043</v>
      </c>
    </row>
    <row r="11" spans="2:28">
      <c r="B11" s="2095"/>
      <c r="C11" s="2096"/>
      <c r="D11" s="3129"/>
      <c r="E11" s="3128" t="s">
        <v>3979</v>
      </c>
      <c r="F11" s="964" t="s">
        <v>3980</v>
      </c>
      <c r="G11" s="964"/>
      <c r="H11" s="964"/>
      <c r="I11" s="964"/>
      <c r="J11" s="964"/>
      <c r="K11" s="964"/>
      <c r="L11" s="964"/>
      <c r="M11" s="964"/>
      <c r="N11" s="964"/>
      <c r="O11" s="964"/>
      <c r="P11" s="964"/>
      <c r="Q11" s="2230"/>
      <c r="T11" s="2445" t="s">
        <v>3981</v>
      </c>
      <c r="U11" s="1">
        <v>5</v>
      </c>
      <c r="V11" s="1">
        <v>0.8</v>
      </c>
      <c r="W11" s="2445">
        <f>(U11-U10)/(V11-V10)</f>
        <v>-10.000000000000002</v>
      </c>
      <c r="X11" s="2445">
        <f>U11-W11*V11</f>
        <v>13.000000000000002</v>
      </c>
      <c r="Y11" s="1">
        <v>5</v>
      </c>
      <c r="Z11" s="1">
        <v>0.85</v>
      </c>
      <c r="AA11" s="2445">
        <f>(Y11-Y10)/(Z11-Z10)</f>
        <v>-12.499999999999989</v>
      </c>
      <c r="AB11" s="2445">
        <f>Y11-AA11*Z11</f>
        <v>15.624999999999991</v>
      </c>
    </row>
    <row r="12" spans="2:28" ht="55.5" customHeight="1">
      <c r="B12" s="2095"/>
      <c r="C12" s="2096"/>
      <c r="D12" s="2096"/>
      <c r="E12" s="969"/>
      <c r="F12" s="3128" t="s">
        <v>3971</v>
      </c>
      <c r="G12" s="4020" t="s">
        <v>3982</v>
      </c>
      <c r="H12" s="4020"/>
      <c r="I12" s="4020"/>
      <c r="J12" s="4020"/>
      <c r="K12" s="4020"/>
      <c r="L12" s="4020"/>
      <c r="M12" s="4020"/>
      <c r="N12" s="4020"/>
      <c r="O12" s="4020"/>
      <c r="P12" s="4020"/>
      <c r="Q12" s="2230"/>
      <c r="T12" s="2445" t="s">
        <v>2374</v>
      </c>
    </row>
    <row r="13" spans="2:28" ht="20.25" customHeight="1">
      <c r="B13" s="2095"/>
      <c r="C13" s="2096"/>
      <c r="D13" s="2096"/>
      <c r="E13" s="969"/>
      <c r="F13" s="3128" t="s">
        <v>3983</v>
      </c>
      <c r="G13" s="3130" t="s">
        <v>3984</v>
      </c>
      <c r="H13" s="969"/>
      <c r="I13" s="969"/>
      <c r="J13" s="969"/>
      <c r="K13" s="969"/>
      <c r="L13" s="969"/>
      <c r="M13" s="969"/>
      <c r="N13" s="969"/>
      <c r="O13" s="3131"/>
      <c r="P13" s="964"/>
      <c r="Q13" s="2230"/>
      <c r="T13" s="2445" t="s">
        <v>3985</v>
      </c>
    </row>
    <row r="14" spans="2:28" ht="14.25" thickBot="1">
      <c r="B14" s="2095"/>
      <c r="C14" s="2096"/>
      <c r="D14" s="2096"/>
      <c r="E14" s="2091"/>
      <c r="F14" s="2096"/>
      <c r="G14" s="3132" t="s">
        <v>3986</v>
      </c>
      <c r="H14" s="3132" t="s">
        <v>3987</v>
      </c>
      <c r="I14" s="2096"/>
      <c r="J14" s="2096"/>
      <c r="K14" s="2096"/>
      <c r="L14" s="3133"/>
      <c r="M14" s="2096"/>
      <c r="N14" s="2096"/>
      <c r="O14" s="2096"/>
      <c r="P14" s="2096"/>
      <c r="Q14" s="2230"/>
    </row>
    <row r="15" spans="2:28" ht="14.25" thickBot="1">
      <c r="B15" s="2095"/>
      <c r="C15" s="2096"/>
      <c r="D15" s="2096"/>
      <c r="E15" s="2091"/>
      <c r="F15" s="2100" t="s">
        <v>3988</v>
      </c>
      <c r="G15" s="2105">
        <f>H113-H110</f>
        <v>20000</v>
      </c>
      <c r="H15" s="2232">
        <f>IF(G15+G16=0,0,G15/(G15+G16))</f>
        <v>0.98425196850393704</v>
      </c>
      <c r="I15" s="2096"/>
      <c r="J15" s="3134">
        <f>IF(H6="",1,IF(J6=Z6,M7,M6))</f>
        <v>1</v>
      </c>
      <c r="K15" s="3023"/>
      <c r="L15" s="3133"/>
      <c r="M15" s="2096"/>
      <c r="N15" s="2096"/>
      <c r="O15" s="2096"/>
      <c r="P15" s="2096"/>
      <c r="Q15" s="2230"/>
    </row>
    <row r="16" spans="2:28" ht="14.25" thickBot="1">
      <c r="B16" s="2095"/>
      <c r="C16" s="2096"/>
      <c r="D16" s="2096"/>
      <c r="E16" s="2091"/>
      <c r="F16" s="2100" t="s">
        <v>3975</v>
      </c>
      <c r="G16" s="2105">
        <f>IF(H9=T6,0,メイン!C64)</f>
        <v>320</v>
      </c>
      <c r="H16" s="2232">
        <f>IF(G15+G16=0,0,G16/(G15+G16))</f>
        <v>1.5748031496062992E-2</v>
      </c>
      <c r="I16" s="2096"/>
      <c r="J16" s="3134">
        <f>IF(H9="",$T12,IF(H9=T11,U11,IF(H9=T10,U10,IF(H9=T9,U9,IF(H9=T8,U8,U7)))))</f>
        <v>3</v>
      </c>
      <c r="K16" s="2096"/>
      <c r="L16" s="3133"/>
      <c r="M16" s="2096"/>
      <c r="N16" s="2096"/>
      <c r="O16" s="2096"/>
      <c r="P16" s="2096"/>
      <c r="Q16" s="2230"/>
    </row>
    <row r="17" spans="2:24" ht="6.75" customHeight="1" thickBot="1">
      <c r="B17" s="2095"/>
      <c r="C17" s="2096"/>
      <c r="D17" s="2096"/>
      <c r="E17" s="2091"/>
      <c r="F17" s="2096"/>
      <c r="G17" s="2096"/>
      <c r="H17" s="2096"/>
      <c r="I17" s="2096"/>
      <c r="J17" s="2096"/>
      <c r="K17" s="2096"/>
      <c r="L17" s="3133"/>
      <c r="M17" s="2096"/>
      <c r="N17" s="2096"/>
      <c r="O17" s="2096"/>
      <c r="P17" s="2096"/>
      <c r="Q17" s="2230"/>
    </row>
    <row r="18" spans="2:24" ht="14.25" thickBot="1">
      <c r="B18" s="2095"/>
      <c r="C18" s="2096"/>
      <c r="D18" s="2091" t="s">
        <v>883</v>
      </c>
      <c r="E18" s="2091"/>
      <c r="F18" s="2096"/>
      <c r="G18" s="2100"/>
      <c r="H18" s="3134">
        <f>SUMPRODUCT(H15:H16,J15:J16)</f>
        <v>1.0314960629921259</v>
      </c>
      <c r="I18" s="2096"/>
      <c r="J18" s="2096"/>
      <c r="K18" s="2096"/>
      <c r="L18" s="2096"/>
      <c r="M18" s="2096"/>
      <c r="N18" s="2096"/>
      <c r="O18" s="2096"/>
      <c r="P18" s="2096"/>
      <c r="Q18" s="2230"/>
    </row>
    <row r="19" spans="2:24">
      <c r="B19" s="2095"/>
      <c r="C19" s="2096"/>
      <c r="D19" s="2096"/>
      <c r="E19" s="2096"/>
      <c r="F19" s="2096"/>
      <c r="G19" s="2096"/>
      <c r="H19" s="2096"/>
      <c r="I19" s="2096"/>
      <c r="J19" s="2096"/>
      <c r="K19" s="2096"/>
      <c r="L19" s="2096"/>
      <c r="M19" s="2096"/>
      <c r="N19" s="2096"/>
      <c r="O19" s="2096"/>
      <c r="P19" s="2096"/>
      <c r="Q19" s="2230"/>
    </row>
    <row r="20" spans="2:24" ht="6" hidden="1" customHeight="1">
      <c r="B20" s="2095"/>
      <c r="C20" s="2096"/>
      <c r="D20" s="2096"/>
      <c r="E20" s="2096"/>
      <c r="F20" s="2096"/>
      <c r="G20" s="2096"/>
      <c r="H20" s="2096"/>
      <c r="I20" s="2096"/>
      <c r="J20" s="2096"/>
      <c r="K20" s="2096"/>
      <c r="L20" s="3133"/>
      <c r="M20" s="2096"/>
      <c r="N20" s="2096"/>
      <c r="O20" s="2096"/>
      <c r="P20" s="2096"/>
      <c r="Q20" s="2230"/>
    </row>
    <row r="21" spans="2:24">
      <c r="B21" s="2095"/>
      <c r="C21" s="2231" t="s">
        <v>3989</v>
      </c>
      <c r="D21" s="2091" t="s">
        <v>3990</v>
      </c>
      <c r="E21" s="2096"/>
      <c r="F21" s="2096"/>
      <c r="G21" s="2096"/>
      <c r="H21" s="2096"/>
      <c r="I21" s="2096"/>
      <c r="J21" s="2096"/>
      <c r="K21" s="2096"/>
      <c r="L21" s="3133"/>
      <c r="M21" s="2096"/>
      <c r="N21" s="2096"/>
      <c r="O21" s="2096"/>
      <c r="P21" s="2096"/>
      <c r="Q21" s="2230"/>
    </row>
    <row r="22" spans="2:24" ht="5.25" customHeight="1" thickBot="1">
      <c r="B22" s="2095"/>
      <c r="C22" s="2231"/>
      <c r="D22" s="2091"/>
      <c r="E22" s="2096"/>
      <c r="F22" s="2096"/>
      <c r="G22" s="3023"/>
      <c r="H22" s="2091"/>
      <c r="I22" s="2096"/>
      <c r="J22" s="2096"/>
      <c r="K22" s="2096"/>
      <c r="L22" s="3133"/>
      <c r="M22" s="2096"/>
      <c r="N22" s="2096"/>
      <c r="O22" s="2096"/>
      <c r="P22" s="2096"/>
      <c r="Q22" s="2094"/>
    </row>
    <row r="23" spans="2:24" ht="14.25" thickBot="1">
      <c r="B23" s="2095"/>
      <c r="C23" s="2096"/>
      <c r="D23" s="2091" t="s">
        <v>3991</v>
      </c>
      <c r="E23" s="2091"/>
      <c r="F23" s="2091"/>
      <c r="G23" s="2245" t="s">
        <v>3992</v>
      </c>
      <c r="H23" s="3135"/>
      <c r="I23" s="2096"/>
      <c r="J23" s="3134">
        <f>IF(H35=0,0,IF($H$23&lt;=V35,U35,IF(H23&gt;=V31,U31,H23*W29+X29)))</f>
        <v>5</v>
      </c>
      <c r="K23" s="3023" t="s">
        <v>3993</v>
      </c>
      <c r="L23" s="3133"/>
      <c r="M23" s="2096"/>
      <c r="N23" s="2096"/>
      <c r="O23" s="2096"/>
      <c r="P23" s="2096"/>
      <c r="Q23" s="2230"/>
    </row>
    <row r="24" spans="2:24" hidden="1">
      <c r="B24" s="2095"/>
      <c r="C24" s="2096"/>
      <c r="D24" s="2091"/>
      <c r="E24" s="3136" t="s">
        <v>3994</v>
      </c>
      <c r="F24" s="2091"/>
      <c r="G24" s="2091"/>
      <c r="H24" s="2091"/>
      <c r="I24" s="2091"/>
      <c r="J24" s="2091"/>
      <c r="K24" s="2091"/>
      <c r="L24" s="2091"/>
      <c r="M24" s="2096"/>
      <c r="N24" s="2096"/>
      <c r="O24" s="2096"/>
      <c r="P24" s="2096"/>
      <c r="Q24" s="2230"/>
    </row>
    <row r="25" spans="2:24" hidden="1">
      <c r="B25" s="2095"/>
      <c r="C25" s="2096"/>
      <c r="D25" s="2091"/>
      <c r="E25" s="3137" t="s">
        <v>3995</v>
      </c>
      <c r="F25" s="2091"/>
      <c r="G25" s="2091"/>
      <c r="H25" s="2091"/>
      <c r="I25" s="2091"/>
      <c r="J25" s="2091"/>
      <c r="K25" s="2091"/>
      <c r="L25" s="2091"/>
      <c r="M25" s="2096"/>
      <c r="N25" s="2096"/>
      <c r="O25" s="2096"/>
      <c r="P25" s="2096"/>
      <c r="Q25" s="2230"/>
    </row>
    <row r="26" spans="2:24" ht="3" customHeight="1" thickBot="1">
      <c r="B26" s="2095"/>
      <c r="C26" s="2096"/>
      <c r="D26" s="2091"/>
      <c r="E26" s="2091"/>
      <c r="F26" s="2091"/>
      <c r="G26" s="2091"/>
      <c r="H26" s="2091"/>
      <c r="I26" s="2091"/>
      <c r="J26" s="2091"/>
      <c r="K26" s="2091"/>
      <c r="L26" s="2091"/>
      <c r="M26" s="2096"/>
      <c r="N26" s="2096"/>
      <c r="O26" s="2096"/>
      <c r="P26" s="2096"/>
      <c r="Q26" s="2230"/>
    </row>
    <row r="27" spans="2:24" ht="13.5" customHeight="1" thickBot="1">
      <c r="B27" s="2095"/>
      <c r="C27" s="2096"/>
      <c r="D27" s="2091"/>
      <c r="E27" s="2096" t="s">
        <v>3996</v>
      </c>
      <c r="F27" s="2091"/>
      <c r="G27" s="2100" t="s">
        <v>3992</v>
      </c>
      <c r="H27" s="3135"/>
      <c r="I27" s="2096"/>
      <c r="J27" s="3138" t="s">
        <v>3997</v>
      </c>
      <c r="K27" s="3138"/>
      <c r="L27" s="3138"/>
      <c r="M27" s="3138"/>
      <c r="N27" s="3138"/>
      <c r="O27" s="3138"/>
      <c r="P27" s="3138"/>
      <c r="Q27" s="2230"/>
    </row>
    <row r="28" spans="2:24">
      <c r="B28" s="2095"/>
      <c r="C28" s="2096"/>
      <c r="D28" s="2091"/>
      <c r="E28" s="2096"/>
      <c r="F28" s="2096"/>
      <c r="G28" s="2096"/>
      <c r="H28" s="2096"/>
      <c r="I28" s="2096"/>
      <c r="J28" s="3138" t="s">
        <v>3998</v>
      </c>
      <c r="K28" s="2096"/>
      <c r="L28" s="2096"/>
      <c r="M28" s="2096"/>
      <c r="N28" s="2096"/>
      <c r="O28" s="3139"/>
      <c r="P28" s="3139"/>
      <c r="Q28" s="2230"/>
    </row>
    <row r="29" spans="2:24">
      <c r="B29" s="2095"/>
      <c r="C29" s="2096"/>
      <c r="D29" s="2091"/>
      <c r="E29" s="2096"/>
      <c r="F29" s="2091"/>
      <c r="G29" s="2101"/>
      <c r="H29" s="3140"/>
      <c r="I29" s="2096"/>
      <c r="J29" s="3138" t="s">
        <v>3999</v>
      </c>
      <c r="K29" s="2096"/>
      <c r="L29" s="3133"/>
      <c r="M29" s="2096"/>
      <c r="N29" s="2096"/>
      <c r="O29" s="2096"/>
      <c r="P29" s="2096"/>
      <c r="Q29" s="2230"/>
      <c r="U29" s="3141">
        <f>IF($H$23&lt;=V35,U35,IF($H$23&lt;=V34,U34,IF($H$23&lt;=V33,U33,IF($H$23&lt;=V32,U32,U31))))</f>
        <v>5</v>
      </c>
      <c r="W29" s="2445">
        <f>VLOOKUP($U$29,U31:X35,3)</f>
        <v>0</v>
      </c>
      <c r="X29" s="2445">
        <f>VLOOKUP($U$29,U31:X35,4)</f>
        <v>0</v>
      </c>
    </row>
    <row r="30" spans="2:24" ht="72.599999999999994" customHeight="1">
      <c r="B30" s="2095"/>
      <c r="C30" s="2096"/>
      <c r="D30" s="2091"/>
      <c r="E30" s="4021" t="s">
        <v>4000</v>
      </c>
      <c r="F30" s="4021"/>
      <c r="G30" s="4021"/>
      <c r="H30" s="4021"/>
      <c r="I30" s="4021"/>
      <c r="J30" s="4021"/>
      <c r="K30" s="4021"/>
      <c r="L30" s="4021"/>
      <c r="M30" s="4021"/>
      <c r="N30" s="4021"/>
      <c r="O30" s="4021"/>
      <c r="P30" s="2096"/>
      <c r="Q30" s="2230"/>
      <c r="U30" s="1" t="s">
        <v>4001</v>
      </c>
      <c r="V30" s="1" t="s">
        <v>1926</v>
      </c>
      <c r="W30" s="2445" t="s">
        <v>2295</v>
      </c>
      <c r="X30" s="2445" t="s">
        <v>2296</v>
      </c>
    </row>
    <row r="31" spans="2:24">
      <c r="B31" s="2095"/>
      <c r="C31" s="2096"/>
      <c r="D31" s="47" t="s">
        <v>4002</v>
      </c>
      <c r="E31" s="2101"/>
      <c r="F31" s="2100"/>
      <c r="G31" s="3132" t="s">
        <v>3986</v>
      </c>
      <c r="H31" s="3132" t="s">
        <v>3987</v>
      </c>
      <c r="I31" s="2096"/>
      <c r="J31" s="838" t="s">
        <v>4003</v>
      </c>
      <c r="K31" s="3142" t="s">
        <v>4004</v>
      </c>
      <c r="L31" s="838" t="s">
        <v>1338</v>
      </c>
      <c r="M31" s="838" t="s">
        <v>4005</v>
      </c>
      <c r="N31" s="838" t="s">
        <v>1340</v>
      </c>
      <c r="O31" s="2091"/>
      <c r="P31" s="2096"/>
      <c r="Q31" s="2230"/>
      <c r="U31" s="1">
        <v>1</v>
      </c>
      <c r="V31" s="2384">
        <f>J35</f>
        <v>1.1015748031496064</v>
      </c>
      <c r="W31" s="2445">
        <f>(U32-U31)/(V32-V31)</f>
        <v>-9.9999999999999911</v>
      </c>
      <c r="X31" s="2445">
        <f>U32-W31*V32</f>
        <v>12.015748031496054</v>
      </c>
    </row>
    <row r="32" spans="2:24">
      <c r="B32" s="2095"/>
      <c r="C32" s="2096"/>
      <c r="D32" s="2091"/>
      <c r="E32" s="2096"/>
      <c r="F32" s="2100" t="s">
        <v>4006</v>
      </c>
      <c r="G32" s="3143">
        <f>メイン!C47+メイン!C49+メイン!E60</f>
        <v>20000</v>
      </c>
      <c r="H32" s="3144">
        <f>IF($G$35=0,0,G32/$G$35)</f>
        <v>0.98425196850393704</v>
      </c>
      <c r="I32" s="2096"/>
      <c r="J32" s="3145">
        <v>1.1000000000000001</v>
      </c>
      <c r="K32" s="3146">
        <v>1</v>
      </c>
      <c r="L32" s="3145">
        <v>0.8</v>
      </c>
      <c r="M32" s="3145">
        <v>0.7</v>
      </c>
      <c r="N32" s="3145">
        <v>0.6</v>
      </c>
      <c r="O32" s="2091"/>
      <c r="P32" s="2096"/>
      <c r="Q32" s="2230"/>
      <c r="U32" s="1">
        <v>2</v>
      </c>
      <c r="V32" s="2384">
        <f>K35</f>
        <v>1.0015748031496063</v>
      </c>
      <c r="W32" s="2445">
        <f>(U33-U32)/(V33-V32)</f>
        <v>-5.0396825396825387</v>
      </c>
      <c r="X32" s="2445">
        <f>U33-W32*V33</f>
        <v>7.0476190476190466</v>
      </c>
    </row>
    <row r="33" spans="2:24">
      <c r="B33" s="2095"/>
      <c r="C33" s="2096"/>
      <c r="D33" s="2091"/>
      <c r="E33" s="2096"/>
      <c r="F33" s="2100" t="s">
        <v>4007</v>
      </c>
      <c r="G33" s="3143">
        <f>メイン!C54+メイン!C56+メイン!C57+メイン!C61+メイン!C62</f>
        <v>0</v>
      </c>
      <c r="H33" s="3144">
        <f>IF($G$35=0,0,G33/$G$35)</f>
        <v>0</v>
      </c>
      <c r="I33" s="2096"/>
      <c r="J33" s="3145">
        <v>1.1000000000000001</v>
      </c>
      <c r="K33" s="3146">
        <v>1</v>
      </c>
      <c r="L33" s="3145">
        <v>0.8</v>
      </c>
      <c r="M33" s="3145">
        <v>0.75</v>
      </c>
      <c r="N33" s="3145">
        <v>0.7</v>
      </c>
      <c r="O33" s="2091"/>
      <c r="P33" s="2096"/>
      <c r="Q33" s="2230"/>
      <c r="U33" s="1">
        <v>3</v>
      </c>
      <c r="V33" s="2384">
        <f>L35</f>
        <v>0.80314960629921262</v>
      </c>
      <c r="W33" s="2445">
        <f>(U34-U33)/(V34-V33)</f>
        <v>-10.000000000000002</v>
      </c>
      <c r="X33" s="2445">
        <f>U34-W33*V34</f>
        <v>11.031496062992128</v>
      </c>
    </row>
    <row r="34" spans="2:24">
      <c r="B34" s="2095"/>
      <c r="C34" s="2096"/>
      <c r="D34" s="2091"/>
      <c r="E34" s="2096"/>
      <c r="F34" s="2100" t="s">
        <v>1556</v>
      </c>
      <c r="G34" s="2103">
        <f>メイン!C64</f>
        <v>320</v>
      </c>
      <c r="H34" s="3144">
        <f>IF($G$35=0,0,G34/$G$35)</f>
        <v>1.5748031496062992E-2</v>
      </c>
      <c r="I34" s="2096"/>
      <c r="J34" s="3145">
        <v>1.2</v>
      </c>
      <c r="K34" s="3146">
        <v>1.1000000000000001</v>
      </c>
      <c r="L34" s="3145">
        <v>1</v>
      </c>
      <c r="M34" s="3145">
        <v>0.9</v>
      </c>
      <c r="N34" s="3145">
        <v>0.85</v>
      </c>
      <c r="O34" s="2091"/>
      <c r="P34" s="2096"/>
      <c r="Q34" s="2230"/>
      <c r="U34" s="1">
        <v>4</v>
      </c>
      <c r="V34" s="2384">
        <f>M35</f>
        <v>0.70314960629921264</v>
      </c>
      <c r="W34" s="2445">
        <f>(U35-U34)/(V35-V34)</f>
        <v>-10.079365079365072</v>
      </c>
      <c r="X34" s="2445">
        <f>U35-W34*V35</f>
        <v>11.087301587301582</v>
      </c>
    </row>
    <row r="35" spans="2:24">
      <c r="B35" s="2095"/>
      <c r="C35" s="2096"/>
      <c r="D35" s="2091"/>
      <c r="E35" s="2096"/>
      <c r="F35" s="2245" t="s">
        <v>1926</v>
      </c>
      <c r="G35" s="3143">
        <f>SUM(G32:G34)</f>
        <v>20320</v>
      </c>
      <c r="H35" s="3143">
        <f>SUM(H32:H34)</f>
        <v>1</v>
      </c>
      <c r="I35" s="2096"/>
      <c r="J35" s="3145">
        <f>SUMPRODUCT(J32:J34,$H$32:$H$34)</f>
        <v>1.1015748031496064</v>
      </c>
      <c r="K35" s="3146">
        <f>SUMPRODUCT(K32:K34,$H$32:$H$34)</f>
        <v>1.0015748031496063</v>
      </c>
      <c r="L35" s="3145">
        <f>SUMPRODUCT(L32:L34,$H$32:$H$34)</f>
        <v>0.80314960629921262</v>
      </c>
      <c r="M35" s="3145">
        <f>SUMPRODUCT(M32:M34,$H$32:$H$34)</f>
        <v>0.70314960629921264</v>
      </c>
      <c r="N35" s="3145">
        <f>SUMPRODUCT(N32:N34,$H$32:$H$34)</f>
        <v>0.60393700787401572</v>
      </c>
      <c r="O35" s="2091"/>
      <c r="P35" s="2096"/>
      <c r="Q35" s="2230"/>
      <c r="U35" s="1">
        <v>5</v>
      </c>
      <c r="V35" s="2384">
        <f>N35</f>
        <v>0.60393700787401572</v>
      </c>
    </row>
    <row r="36" spans="2:24" ht="14.25" thickBot="1">
      <c r="B36" s="2095"/>
      <c r="C36" s="2096"/>
      <c r="D36" s="2096"/>
      <c r="E36" s="2096"/>
      <c r="F36" s="3023"/>
      <c r="G36" s="3023"/>
      <c r="H36" s="3023"/>
      <c r="I36" s="3023"/>
      <c r="J36" s="3147"/>
      <c r="K36" s="3023"/>
      <c r="L36" s="3023"/>
      <c r="M36" s="3023"/>
      <c r="N36" s="3023"/>
      <c r="O36" s="2096"/>
      <c r="P36" s="2096"/>
      <c r="Q36" s="2230"/>
    </row>
    <row r="37" spans="2:24" ht="14.25" thickBot="1">
      <c r="B37" s="2095"/>
      <c r="C37" s="2096"/>
      <c r="D37" s="2091" t="s">
        <v>522</v>
      </c>
      <c r="E37" s="2091"/>
      <c r="F37" s="2091"/>
      <c r="G37" s="2096"/>
      <c r="H37" s="3134" t="e">
        <f>IF(H23="",J77,J23)</f>
        <v>#DIV/0!</v>
      </c>
      <c r="I37" s="2096"/>
      <c r="J37" s="2096"/>
      <c r="K37" s="2091"/>
      <c r="L37" s="2091"/>
      <c r="M37" s="2091"/>
      <c r="N37" s="2096"/>
      <c r="O37" s="2091"/>
      <c r="P37" s="2096"/>
      <c r="Q37" s="2230"/>
    </row>
    <row r="38" spans="2:24">
      <c r="B38" s="2095"/>
      <c r="C38" s="2096"/>
      <c r="D38" s="2091"/>
      <c r="E38" s="2096"/>
      <c r="F38" s="2091"/>
      <c r="G38" s="2096"/>
      <c r="H38" s="829"/>
      <c r="I38" s="2096"/>
      <c r="J38" s="2091"/>
      <c r="K38" s="2091"/>
      <c r="L38" s="2091"/>
      <c r="M38" s="2096"/>
      <c r="N38" s="2096"/>
      <c r="O38" s="2091"/>
      <c r="P38" s="2096"/>
      <c r="Q38" s="2230"/>
    </row>
    <row r="39" spans="2:24" ht="46.5" customHeight="1">
      <c r="B39" s="2095"/>
      <c r="C39" s="2231"/>
      <c r="D39" s="4021" t="s">
        <v>4008</v>
      </c>
      <c r="E39" s="4021"/>
      <c r="F39" s="4021"/>
      <c r="G39" s="4021"/>
      <c r="H39" s="4021"/>
      <c r="I39" s="4021"/>
      <c r="J39" s="4021"/>
      <c r="K39" s="4021"/>
      <c r="L39" s="4021"/>
      <c r="M39" s="4021"/>
      <c r="N39" s="4021"/>
      <c r="O39" s="4021"/>
      <c r="P39" s="2096"/>
      <c r="Q39" s="2230"/>
    </row>
    <row r="40" spans="2:24" ht="14.25" thickBot="1">
      <c r="B40" s="2095"/>
      <c r="C40" s="2096"/>
      <c r="D40" s="2093" t="s">
        <v>4009</v>
      </c>
      <c r="E40" s="2096"/>
      <c r="F40" s="2091"/>
      <c r="G40" s="2096"/>
      <c r="H40" s="2096"/>
      <c r="I40" s="2096"/>
      <c r="J40" s="2096"/>
      <c r="K40" s="2091"/>
      <c r="L40" s="2091"/>
      <c r="M40" s="2096"/>
      <c r="N40" s="2096"/>
      <c r="O40" s="2091"/>
      <c r="P40" s="2096"/>
      <c r="Q40" s="2230"/>
    </row>
    <row r="41" spans="2:24" ht="14.25" thickBot="1">
      <c r="B41" s="2095"/>
      <c r="C41" s="2096"/>
      <c r="D41" s="2091"/>
      <c r="E41" s="2096"/>
      <c r="F41" s="2091"/>
      <c r="G41" s="2245" t="s">
        <v>4010</v>
      </c>
      <c r="H41" s="3135"/>
      <c r="I41" s="2245"/>
      <c r="J41" s="3134" t="str">
        <f>IF(H41="",S41,IF(H41&lt;=V48,U48,IF(H41&gt;=V44,U44,H41*W42+X42)))</f>
        <v>BEI未入力</v>
      </c>
      <c r="K41" s="3023" t="s">
        <v>4011</v>
      </c>
      <c r="L41" s="2091"/>
      <c r="M41" s="2096"/>
      <c r="N41" s="2096"/>
      <c r="O41" s="2091"/>
      <c r="P41" s="2096"/>
      <c r="Q41" s="2230"/>
      <c r="S41" s="2445" t="s">
        <v>4012</v>
      </c>
    </row>
    <row r="42" spans="2:24">
      <c r="B42" s="2095"/>
      <c r="C42" s="2096"/>
      <c r="D42" s="2091"/>
      <c r="E42" s="2101" t="s">
        <v>4013</v>
      </c>
      <c r="F42" s="2091"/>
      <c r="G42" s="2096"/>
      <c r="H42" s="2096"/>
      <c r="I42" s="2096"/>
      <c r="J42" s="2096"/>
      <c r="K42" s="2091"/>
      <c r="L42" s="2091"/>
      <c r="M42" s="2096"/>
      <c r="N42" s="2096"/>
      <c r="O42" s="2091"/>
      <c r="P42" s="2096"/>
      <c r="Q42" s="2230"/>
      <c r="U42" s="3141" t="e">
        <f>IF($H$41&lt;=V48,U48,IF($H$41&lt;=V47,U47,IF($H$41&lt;=V46,U46,IF($H$41&lt;=V45,U45,U44))))</f>
        <v>#DIV/0!</v>
      </c>
      <c r="W42" s="2445" t="e">
        <f>VLOOKUP($U$42,U44:X48,3)</f>
        <v>#DIV/0!</v>
      </c>
      <c r="X42" s="2445" t="e">
        <f>VLOOKUP($U$42,U44:X48,4)</f>
        <v>#DIV/0!</v>
      </c>
    </row>
    <row r="43" spans="2:24">
      <c r="B43" s="2095"/>
      <c r="C43" s="2096"/>
      <c r="D43" s="47"/>
      <c r="E43" s="2100"/>
      <c r="F43" s="3132" t="s">
        <v>3986</v>
      </c>
      <c r="G43" s="3132" t="s">
        <v>4014</v>
      </c>
      <c r="H43" s="3132" t="s">
        <v>3987</v>
      </c>
      <c r="I43" s="2096"/>
      <c r="J43" s="838" t="s">
        <v>4015</v>
      </c>
      <c r="K43" s="3142" t="s">
        <v>4016</v>
      </c>
      <c r="L43" s="838" t="s">
        <v>1338</v>
      </c>
      <c r="M43" s="838" t="s">
        <v>1339</v>
      </c>
      <c r="N43" s="838" t="s">
        <v>1340</v>
      </c>
      <c r="O43" s="2091"/>
      <c r="P43" s="2096"/>
      <c r="Q43" s="2230"/>
      <c r="U43" s="1" t="s">
        <v>4017</v>
      </c>
      <c r="V43" s="1" t="s">
        <v>1926</v>
      </c>
      <c r="W43" s="2445" t="s">
        <v>2295</v>
      </c>
      <c r="X43" s="2445" t="s">
        <v>2296</v>
      </c>
    </row>
    <row r="44" spans="2:24">
      <c r="B44" s="2095"/>
      <c r="C44" s="2096"/>
      <c r="D44" s="47"/>
      <c r="E44" s="2100" t="s">
        <v>4018</v>
      </c>
      <c r="F44" s="3143">
        <f>G32</f>
        <v>20000</v>
      </c>
      <c r="G44" s="3148"/>
      <c r="H44" s="2318" t="e">
        <f>G44/G47</f>
        <v>#DIV/0!</v>
      </c>
      <c r="I44" s="2096"/>
      <c r="J44" s="3145">
        <v>1.1000000000000001</v>
      </c>
      <c r="K44" s="3146">
        <v>1</v>
      </c>
      <c r="L44" s="3145">
        <v>0.8</v>
      </c>
      <c r="M44" s="3145">
        <v>0.7</v>
      </c>
      <c r="N44" s="3145">
        <v>0.6</v>
      </c>
      <c r="O44" s="2091"/>
      <c r="P44" s="2096"/>
      <c r="Q44" s="2230"/>
      <c r="U44" s="1">
        <v>1</v>
      </c>
      <c r="V44" s="2384" t="e">
        <f>J47</f>
        <v>#DIV/0!</v>
      </c>
      <c r="W44" s="2445" t="e">
        <f>(U45-U44)/(V45-V44)</f>
        <v>#DIV/0!</v>
      </c>
      <c r="X44" s="2445" t="e">
        <f>U45-W44*V45</f>
        <v>#DIV/0!</v>
      </c>
    </row>
    <row r="45" spans="2:24">
      <c r="B45" s="2095"/>
      <c r="C45" s="2096"/>
      <c r="D45" s="2091"/>
      <c r="E45" s="2100" t="s">
        <v>4019</v>
      </c>
      <c r="F45" s="3143">
        <f>G33</f>
        <v>0</v>
      </c>
      <c r="G45" s="3148"/>
      <c r="H45" s="2318" t="e">
        <f>G45/G47</f>
        <v>#DIV/0!</v>
      </c>
      <c r="I45" s="2096"/>
      <c r="J45" s="3145">
        <v>1.1000000000000001</v>
      </c>
      <c r="K45" s="3146">
        <v>1</v>
      </c>
      <c r="L45" s="3145">
        <v>0.8</v>
      </c>
      <c r="M45" s="3145">
        <v>0.75</v>
      </c>
      <c r="N45" s="3145">
        <v>0.7</v>
      </c>
      <c r="O45" s="2091"/>
      <c r="P45" s="2096"/>
      <c r="Q45" s="2230"/>
      <c r="U45" s="1">
        <v>2</v>
      </c>
      <c r="V45" s="2384" t="e">
        <f>K47</f>
        <v>#DIV/0!</v>
      </c>
      <c r="W45" s="2445" t="e">
        <f>(U46-U45)/(V46-V45)</f>
        <v>#DIV/0!</v>
      </c>
      <c r="X45" s="2445" t="e">
        <f>U46-W45*V46</f>
        <v>#DIV/0!</v>
      </c>
    </row>
    <row r="46" spans="2:24">
      <c r="B46" s="2095"/>
      <c r="C46" s="2096"/>
      <c r="D46" s="2091"/>
      <c r="E46" s="2100" t="s">
        <v>1556</v>
      </c>
      <c r="F46" s="3143">
        <f>メイン!C64</f>
        <v>320</v>
      </c>
      <c r="G46" s="3148"/>
      <c r="H46" s="2318" t="e">
        <f>G46/G47</f>
        <v>#DIV/0!</v>
      </c>
      <c r="I46" s="2096"/>
      <c r="J46" s="3145">
        <v>1.2</v>
      </c>
      <c r="K46" s="3146">
        <v>1.1000000000000001</v>
      </c>
      <c r="L46" s="3145">
        <v>1</v>
      </c>
      <c r="M46" s="3145">
        <v>0.9</v>
      </c>
      <c r="N46" s="3145">
        <v>0.85</v>
      </c>
      <c r="O46" s="2091"/>
      <c r="P46" s="2096"/>
      <c r="Q46" s="2230"/>
      <c r="U46" s="1">
        <v>3</v>
      </c>
      <c r="V46" s="2384" t="e">
        <f>L47</f>
        <v>#DIV/0!</v>
      </c>
      <c r="W46" s="2445" t="e">
        <f>(U47-U46)/(V47-V46)</f>
        <v>#DIV/0!</v>
      </c>
      <c r="X46" s="2445" t="e">
        <f>U47-W46*V47</f>
        <v>#DIV/0!</v>
      </c>
    </row>
    <row r="47" spans="2:24">
      <c r="B47" s="2095"/>
      <c r="C47" s="2096"/>
      <c r="D47" s="2091"/>
      <c r="E47" s="2245" t="s">
        <v>4020</v>
      </c>
      <c r="F47" s="3143">
        <f>SUM(F44:F46)</f>
        <v>20320</v>
      </c>
      <c r="G47" s="3143">
        <f>SUM(G44:G46)</f>
        <v>0</v>
      </c>
      <c r="H47" s="3143" t="e">
        <f>SUM(H44:H46)</f>
        <v>#DIV/0!</v>
      </c>
      <c r="I47" s="2096"/>
      <c r="J47" s="3145" t="e">
        <f>SUMPRODUCT(J44:J46,$H$44:$H$46)</f>
        <v>#DIV/0!</v>
      </c>
      <c r="K47" s="3146" t="e">
        <f>SUMPRODUCT(K44:K46,$H$44:$H$46)</f>
        <v>#DIV/0!</v>
      </c>
      <c r="L47" s="3145" t="e">
        <f>SUMPRODUCT(L44:L46,$H$44:$H$46)</f>
        <v>#DIV/0!</v>
      </c>
      <c r="M47" s="3145" t="e">
        <f>SUMPRODUCT(M44:M46,$H$44:$H$46)</f>
        <v>#DIV/0!</v>
      </c>
      <c r="N47" s="3145" t="e">
        <f>SUMPRODUCT(N44:N46,$H$44:$H$46)</f>
        <v>#DIV/0!</v>
      </c>
      <c r="O47" s="2091"/>
      <c r="P47" s="2096"/>
      <c r="Q47" s="2230"/>
      <c r="U47" s="1">
        <v>4</v>
      </c>
      <c r="V47" s="2384" t="e">
        <f>M47</f>
        <v>#DIV/0!</v>
      </c>
      <c r="W47" s="2445" t="e">
        <f>(U48-U47)/(V48-V47)</f>
        <v>#DIV/0!</v>
      </c>
      <c r="X47" s="2445" t="e">
        <f>U48-W47*V48</f>
        <v>#DIV/0!</v>
      </c>
    </row>
    <row r="48" spans="2:24">
      <c r="B48" s="2095"/>
      <c r="C48" s="2096"/>
      <c r="D48" s="2091"/>
      <c r="E48" s="2096"/>
      <c r="F48" s="2091"/>
      <c r="G48" s="2096"/>
      <c r="H48" s="2096"/>
      <c r="I48" s="2096"/>
      <c r="J48" s="2096"/>
      <c r="K48" s="2091"/>
      <c r="L48" s="2091"/>
      <c r="M48" s="2096"/>
      <c r="N48" s="2096"/>
      <c r="O48" s="2091"/>
      <c r="P48" s="2096"/>
      <c r="Q48" s="2230"/>
      <c r="U48" s="1">
        <v>5</v>
      </c>
      <c r="V48" s="2384" t="e">
        <f>N47</f>
        <v>#DIV/0!</v>
      </c>
    </row>
    <row r="49" spans="2:24" ht="14.25" thickBot="1">
      <c r="B49" s="2095"/>
      <c r="C49" s="2096"/>
      <c r="D49" s="2093" t="s">
        <v>4021</v>
      </c>
      <c r="E49" s="2096"/>
      <c r="F49" s="2091"/>
      <c r="G49" s="2096"/>
      <c r="H49" s="2096"/>
      <c r="I49" s="2096"/>
      <c r="J49" s="2096"/>
      <c r="K49" s="2091"/>
      <c r="L49" s="2091"/>
      <c r="M49" s="2096"/>
      <c r="N49" s="2096"/>
      <c r="O49" s="2091"/>
      <c r="P49" s="2096"/>
      <c r="Q49" s="2230"/>
    </row>
    <row r="50" spans="2:24" ht="14.25" thickBot="1">
      <c r="B50" s="2095"/>
      <c r="C50" s="2096"/>
      <c r="D50" s="2091"/>
      <c r="E50" s="2096"/>
      <c r="F50" s="2091"/>
      <c r="G50" s="2245" t="s">
        <v>4022</v>
      </c>
      <c r="H50" s="3135"/>
      <c r="I50" s="2245"/>
      <c r="J50" s="3134" t="str">
        <f>IF(H50="",S50,IF(H50&lt;=V57,U57,IF(H50&gt;=V53,U53,H50*W51+X51)))</f>
        <v>BEI未入力</v>
      </c>
      <c r="K50" s="2091"/>
      <c r="L50" s="2091"/>
      <c r="M50" s="2096"/>
      <c r="N50" s="2096"/>
      <c r="O50" s="2091"/>
      <c r="P50" s="2096"/>
      <c r="Q50" s="2230"/>
      <c r="S50" s="2445" t="s">
        <v>4012</v>
      </c>
    </row>
    <row r="51" spans="2:24">
      <c r="B51" s="2095"/>
      <c r="C51" s="2096"/>
      <c r="D51" s="2091"/>
      <c r="E51" s="2101" t="s">
        <v>4013</v>
      </c>
      <c r="F51" s="2091"/>
      <c r="G51" s="2096"/>
      <c r="H51" s="2096"/>
      <c r="I51" s="2096"/>
      <c r="J51" s="2096"/>
      <c r="K51" s="2091"/>
      <c r="L51" s="2091"/>
      <c r="M51" s="2096"/>
      <c r="N51" s="2096"/>
      <c r="O51" s="2091"/>
      <c r="P51" s="2096"/>
      <c r="Q51" s="2230"/>
      <c r="U51" s="3141" t="e">
        <f>IF($H$50&lt;=V57,U57,IF($H$50&lt;=V56,U56,IF($H$50&lt;=V55,U55,IF($H$50&lt;=V54,U54,U53))))</f>
        <v>#DIV/0!</v>
      </c>
      <c r="W51" s="2445" t="e">
        <f>VLOOKUP($U$51,U53:X57,3)</f>
        <v>#DIV/0!</v>
      </c>
      <c r="X51" s="2445" t="e">
        <f>VLOOKUP($U$51,U53:X57,4)</f>
        <v>#DIV/0!</v>
      </c>
    </row>
    <row r="52" spans="2:24">
      <c r="B52" s="2095"/>
      <c r="C52" s="2096"/>
      <c r="D52" s="2091"/>
      <c r="E52" s="2100"/>
      <c r="F52" s="3132" t="s">
        <v>3986</v>
      </c>
      <c r="G52" s="3132" t="s">
        <v>4014</v>
      </c>
      <c r="H52" s="3132" t="s">
        <v>3987</v>
      </c>
      <c r="I52" s="2096"/>
      <c r="J52" s="838" t="s">
        <v>4023</v>
      </c>
      <c r="K52" s="3142" t="s">
        <v>4024</v>
      </c>
      <c r="L52" s="838" t="s">
        <v>1338</v>
      </c>
      <c r="M52" s="838" t="s">
        <v>1339</v>
      </c>
      <c r="N52" s="838" t="s">
        <v>1340</v>
      </c>
      <c r="O52" s="2091"/>
      <c r="P52" s="2096"/>
      <c r="Q52" s="2230"/>
      <c r="U52" s="1" t="s">
        <v>4025</v>
      </c>
      <c r="V52" s="1" t="s">
        <v>1926</v>
      </c>
      <c r="W52" s="2445" t="s">
        <v>2295</v>
      </c>
      <c r="X52" s="2445" t="s">
        <v>2296</v>
      </c>
    </row>
    <row r="53" spans="2:24">
      <c r="B53" s="2095"/>
      <c r="C53" s="2096"/>
      <c r="D53" s="2091"/>
      <c r="E53" s="2100" t="s">
        <v>4026</v>
      </c>
      <c r="F53" s="3143">
        <f>F44</f>
        <v>20000</v>
      </c>
      <c r="G53" s="3148"/>
      <c r="H53" s="2318" t="e">
        <f>G53/G56</f>
        <v>#DIV/0!</v>
      </c>
      <c r="I53" s="2096"/>
      <c r="J53" s="3145">
        <v>1.1000000000000001</v>
      </c>
      <c r="K53" s="3146">
        <v>1</v>
      </c>
      <c r="L53" s="3145">
        <v>0.8</v>
      </c>
      <c r="M53" s="3145">
        <v>0.7</v>
      </c>
      <c r="N53" s="3145">
        <v>0.6</v>
      </c>
      <c r="O53" s="2091"/>
      <c r="P53" s="2096"/>
      <c r="Q53" s="2230"/>
      <c r="U53" s="1">
        <v>1</v>
      </c>
      <c r="V53" s="2384" t="e">
        <f>J56</f>
        <v>#DIV/0!</v>
      </c>
      <c r="W53" s="2445" t="e">
        <f>(U54-U53)/(V54-V53)</f>
        <v>#DIV/0!</v>
      </c>
      <c r="X53" s="2445" t="e">
        <f>U54-W53*V54</f>
        <v>#DIV/0!</v>
      </c>
    </row>
    <row r="54" spans="2:24">
      <c r="B54" s="2095"/>
      <c r="C54" s="2096"/>
      <c r="D54" s="2091"/>
      <c r="E54" s="2100" t="s">
        <v>4027</v>
      </c>
      <c r="F54" s="3143">
        <f>F45</f>
        <v>0</v>
      </c>
      <c r="G54" s="3148"/>
      <c r="H54" s="2318" t="e">
        <f>G54/G56</f>
        <v>#DIV/0!</v>
      </c>
      <c r="I54" s="2096"/>
      <c r="J54" s="3145">
        <v>1.1000000000000001</v>
      </c>
      <c r="K54" s="3146">
        <v>1</v>
      </c>
      <c r="L54" s="3145">
        <v>0.8</v>
      </c>
      <c r="M54" s="3145">
        <v>0.75</v>
      </c>
      <c r="N54" s="3145">
        <v>0.7</v>
      </c>
      <c r="O54" s="2091"/>
      <c r="P54" s="2096"/>
      <c r="Q54" s="2230"/>
      <c r="U54" s="1">
        <v>2</v>
      </c>
      <c r="V54" s="2384" t="e">
        <f>K56</f>
        <v>#DIV/0!</v>
      </c>
      <c r="W54" s="2445" t="e">
        <f>(U55-U54)/(V55-V54)</f>
        <v>#DIV/0!</v>
      </c>
      <c r="X54" s="2445" t="e">
        <f>U55-W54*V55</f>
        <v>#DIV/0!</v>
      </c>
    </row>
    <row r="55" spans="2:24" hidden="1">
      <c r="B55" s="2095"/>
      <c r="C55" s="2096"/>
      <c r="D55" s="2091"/>
      <c r="E55" s="2100" t="s">
        <v>1556</v>
      </c>
      <c r="F55" s="3143"/>
      <c r="G55" s="3143"/>
      <c r="H55" s="2318" t="e">
        <f>G55/G56</f>
        <v>#DIV/0!</v>
      </c>
      <c r="I55" s="2096"/>
      <c r="J55" s="3145">
        <v>1.2</v>
      </c>
      <c r="K55" s="3146">
        <v>1.1000000000000001</v>
      </c>
      <c r="L55" s="3145">
        <v>1</v>
      </c>
      <c r="M55" s="3145">
        <v>0.9</v>
      </c>
      <c r="N55" s="3145">
        <v>0.85</v>
      </c>
      <c r="O55" s="2091"/>
      <c r="P55" s="2096"/>
      <c r="Q55" s="2230"/>
      <c r="U55" s="1">
        <v>3</v>
      </c>
      <c r="V55" s="2384" t="e">
        <f>L56</f>
        <v>#DIV/0!</v>
      </c>
      <c r="W55" s="2445" t="e">
        <f>(U56-U55)/(V56-V55)</f>
        <v>#DIV/0!</v>
      </c>
      <c r="X55" s="2445" t="e">
        <f>U56-W55*V56</f>
        <v>#DIV/0!</v>
      </c>
    </row>
    <row r="56" spans="2:24">
      <c r="B56" s="2095"/>
      <c r="C56" s="2096"/>
      <c r="D56" s="2091"/>
      <c r="E56" s="2245" t="s">
        <v>4020</v>
      </c>
      <c r="F56" s="3143">
        <f>SUM(F53:F55)</f>
        <v>20000</v>
      </c>
      <c r="G56" s="3143">
        <f>SUM(G53:G55)</f>
        <v>0</v>
      </c>
      <c r="H56" s="3143" t="e">
        <f>SUM(H53:H55)</f>
        <v>#DIV/0!</v>
      </c>
      <c r="I56" s="2096"/>
      <c r="J56" s="3145" t="e">
        <f>SUMPRODUCT(J53:J55,$H$53:$H$55)</f>
        <v>#DIV/0!</v>
      </c>
      <c r="K56" s="3145" t="e">
        <f t="shared" ref="K56:L56" si="0">SUMPRODUCT(K53:K55,$H$53:$H$55)</f>
        <v>#DIV/0!</v>
      </c>
      <c r="L56" s="3145" t="e">
        <f t="shared" si="0"/>
        <v>#DIV/0!</v>
      </c>
      <c r="M56" s="3145" t="e">
        <f>SUMPRODUCT(M53:M55,$H$53:$H$55)</f>
        <v>#DIV/0!</v>
      </c>
      <c r="N56" s="3145" t="e">
        <f>SUMPRODUCT(N53:N55,$H$53:$H$55)</f>
        <v>#DIV/0!</v>
      </c>
      <c r="O56" s="2091"/>
      <c r="P56" s="2096"/>
      <c r="Q56" s="2230"/>
      <c r="U56" s="1">
        <v>4</v>
      </c>
      <c r="V56" s="2384" t="e">
        <f>M56</f>
        <v>#DIV/0!</v>
      </c>
      <c r="W56" s="2445" t="e">
        <f>(U57-U56)/(V57-V56)</f>
        <v>#DIV/0!</v>
      </c>
      <c r="X56" s="2445" t="e">
        <f>U57-W56*V57</f>
        <v>#DIV/0!</v>
      </c>
    </row>
    <row r="57" spans="2:24">
      <c r="B57" s="2095"/>
      <c r="C57" s="2096"/>
      <c r="D57" s="2091"/>
      <c r="E57" s="2245"/>
      <c r="F57" s="3149"/>
      <c r="G57" s="3149"/>
      <c r="H57" s="3150"/>
      <c r="I57" s="2096"/>
      <c r="J57" s="3151"/>
      <c r="K57" s="3151"/>
      <c r="L57" s="3151"/>
      <c r="M57" s="3151"/>
      <c r="N57" s="3151"/>
      <c r="O57" s="2091"/>
      <c r="P57" s="2096"/>
      <c r="Q57" s="2230"/>
      <c r="U57" s="1">
        <v>5</v>
      </c>
      <c r="V57" s="2384" t="e">
        <f>N56</f>
        <v>#DIV/0!</v>
      </c>
    </row>
    <row r="58" spans="2:24">
      <c r="B58" s="2095"/>
      <c r="C58" s="2096"/>
      <c r="D58" s="2091" t="s">
        <v>4028</v>
      </c>
      <c r="E58" s="2096"/>
      <c r="F58" s="2091"/>
      <c r="G58" s="2096"/>
      <c r="H58" s="2096"/>
      <c r="I58" s="2096"/>
      <c r="J58" s="2096"/>
      <c r="K58" s="2096"/>
      <c r="L58" s="2096"/>
      <c r="M58" s="2096"/>
      <c r="N58" s="2096"/>
      <c r="O58" s="2096"/>
      <c r="P58" s="2096"/>
      <c r="Q58" s="2230"/>
    </row>
    <row r="59" spans="2:24">
      <c r="B59" s="2095"/>
      <c r="C59" s="2096"/>
      <c r="D59" s="2096"/>
      <c r="E59" s="2096" t="s">
        <v>4029</v>
      </c>
      <c r="F59" s="2093"/>
      <c r="G59" s="2093"/>
      <c r="H59" s="2093"/>
      <c r="I59" s="2093"/>
      <c r="J59" s="2093"/>
      <c r="K59" s="2093"/>
      <c r="L59" s="2093"/>
      <c r="M59" s="2096"/>
      <c r="N59" s="2096"/>
      <c r="O59" s="2096"/>
      <c r="P59" s="2096"/>
      <c r="Q59" s="2230"/>
      <c r="S59" s="2273" t="s">
        <v>2411</v>
      </c>
    </row>
    <row r="60" spans="2:24" ht="13.5" customHeight="1">
      <c r="B60" s="2095"/>
      <c r="C60" s="2096"/>
      <c r="D60" s="2096"/>
      <c r="E60" s="4019" t="s">
        <v>4030</v>
      </c>
      <c r="F60" s="4019"/>
      <c r="G60" s="4019"/>
      <c r="H60" s="4019"/>
      <c r="I60" s="4019"/>
      <c r="J60" s="4019"/>
      <c r="K60" s="4019"/>
      <c r="L60" s="4019"/>
      <c r="M60" s="4019"/>
      <c r="N60" s="4019"/>
      <c r="O60" s="4019"/>
      <c r="P60" s="2096"/>
      <c r="Q60" s="2230"/>
      <c r="S60" s="2445">
        <v>1</v>
      </c>
    </row>
    <row r="61" spans="2:24" ht="31.5" customHeight="1" thickBot="1">
      <c r="B61" s="2095"/>
      <c r="C61" s="2096"/>
      <c r="D61" s="2096"/>
      <c r="E61" s="4019"/>
      <c r="F61" s="4019"/>
      <c r="G61" s="4019"/>
      <c r="H61" s="4019"/>
      <c r="I61" s="4019"/>
      <c r="J61" s="4019"/>
      <c r="K61" s="4019"/>
      <c r="L61" s="4019"/>
      <c r="M61" s="4019"/>
      <c r="N61" s="4019"/>
      <c r="O61" s="4019"/>
      <c r="P61" s="2096"/>
      <c r="Q61" s="2230"/>
      <c r="S61" s="2445">
        <v>3</v>
      </c>
    </row>
    <row r="62" spans="2:24" ht="14.25" thickBot="1">
      <c r="B62" s="2095"/>
      <c r="C62" s="2096"/>
      <c r="D62" s="2096"/>
      <c r="E62" s="3152" t="s">
        <v>2418</v>
      </c>
      <c r="F62" s="4022" t="s">
        <v>2411</v>
      </c>
      <c r="G62" s="4023"/>
      <c r="H62" s="4024"/>
      <c r="I62" s="3133"/>
      <c r="J62" s="3133"/>
      <c r="K62" s="3133"/>
      <c r="L62" s="2096"/>
      <c r="M62" s="2096"/>
      <c r="N62" s="2096"/>
      <c r="O62" s="2096"/>
      <c r="P62" s="2096"/>
      <c r="Q62" s="2230"/>
    </row>
    <row r="63" spans="2:24" ht="7.5" customHeight="1" thickBot="1">
      <c r="B63" s="2095"/>
      <c r="C63" s="2096"/>
      <c r="D63" s="2096"/>
      <c r="E63" s="2096"/>
      <c r="F63" s="2096"/>
      <c r="G63" s="2096"/>
      <c r="H63" s="2096"/>
      <c r="I63" s="2096"/>
      <c r="J63" s="2091"/>
      <c r="K63" s="2096"/>
      <c r="L63" s="2096"/>
      <c r="M63" s="2096"/>
      <c r="N63" s="2096"/>
      <c r="O63" s="2096"/>
      <c r="P63" s="2096"/>
      <c r="Q63" s="2230"/>
    </row>
    <row r="64" spans="2:24" ht="14.25" thickBot="1">
      <c r="B64" s="2095"/>
      <c r="C64" s="2096"/>
      <c r="D64" s="2096"/>
      <c r="E64" s="3152" t="s">
        <v>1927</v>
      </c>
      <c r="F64" s="2092"/>
      <c r="G64" s="2096"/>
      <c r="H64" s="2096"/>
      <c r="I64" s="2096"/>
      <c r="J64" s="2091"/>
      <c r="K64" s="3152" t="s">
        <v>1928</v>
      </c>
      <c r="L64" s="2092"/>
      <c r="M64" s="2096"/>
      <c r="N64" s="2096"/>
      <c r="O64" s="2096"/>
      <c r="P64" s="2096"/>
      <c r="Q64" s="2230"/>
      <c r="S64" s="2445" t="s">
        <v>1921</v>
      </c>
      <c r="T64" s="2445" t="s">
        <v>1919</v>
      </c>
    </row>
    <row r="65" spans="2:20">
      <c r="B65" s="2095"/>
      <c r="C65" s="2096"/>
      <c r="D65" s="2096"/>
      <c r="E65" s="2096"/>
      <c r="F65" s="3023" t="s">
        <v>2412</v>
      </c>
      <c r="G65" s="3023"/>
      <c r="H65" s="3023"/>
      <c r="I65" s="3023"/>
      <c r="J65" s="3147"/>
      <c r="K65" s="3147"/>
      <c r="L65" s="3023" t="s">
        <v>2416</v>
      </c>
      <c r="M65" s="3023"/>
      <c r="N65" s="3023"/>
      <c r="O65" s="2096"/>
      <c r="P65" s="2096"/>
      <c r="Q65" s="2230"/>
      <c r="S65" s="2445" t="s">
        <v>1923</v>
      </c>
      <c r="T65" s="2445" t="s">
        <v>1922</v>
      </c>
    </row>
    <row r="66" spans="2:20">
      <c r="B66" s="2095"/>
      <c r="C66" s="2096"/>
      <c r="D66" s="2096"/>
      <c r="E66" s="2096"/>
      <c r="F66" s="3023" t="s">
        <v>2413</v>
      </c>
      <c r="G66" s="3023"/>
      <c r="H66" s="3023"/>
      <c r="I66" s="3023"/>
      <c r="J66" s="3147"/>
      <c r="K66" s="3147"/>
      <c r="L66" s="3023" t="s">
        <v>2417</v>
      </c>
      <c r="M66" s="3023"/>
      <c r="N66" s="3023"/>
      <c r="O66" s="2096"/>
      <c r="P66" s="2096"/>
      <c r="Q66" s="2230"/>
      <c r="S66" s="2445" t="s">
        <v>1924</v>
      </c>
      <c r="T66" s="2445" t="s">
        <v>4031</v>
      </c>
    </row>
    <row r="67" spans="2:20">
      <c r="B67" s="2095"/>
      <c r="C67" s="2096"/>
      <c r="D67" s="2096"/>
      <c r="E67" s="2096"/>
      <c r="F67" s="3023" t="s">
        <v>2414</v>
      </c>
      <c r="G67" s="3023"/>
      <c r="H67" s="3023"/>
      <c r="I67" s="3023"/>
      <c r="J67" s="3147"/>
      <c r="K67" s="3147"/>
      <c r="L67" s="3023" t="s">
        <v>2415</v>
      </c>
      <c r="M67" s="3023"/>
      <c r="N67" s="3023"/>
      <c r="O67" s="2096"/>
      <c r="P67" s="2096"/>
      <c r="Q67" s="2230"/>
      <c r="S67" s="2445" t="s">
        <v>4031</v>
      </c>
    </row>
    <row r="68" spans="2:20">
      <c r="B68" s="2095"/>
      <c r="C68" s="2096"/>
      <c r="D68" s="2096"/>
      <c r="E68" s="2096"/>
      <c r="F68" s="3023" t="s">
        <v>2415</v>
      </c>
      <c r="G68" s="3023"/>
      <c r="H68" s="3023"/>
      <c r="I68" s="3023"/>
      <c r="J68" s="3147"/>
      <c r="K68" s="3023"/>
      <c r="L68" s="3023"/>
      <c r="M68" s="3023"/>
      <c r="N68" s="3023"/>
      <c r="O68" s="2096"/>
      <c r="P68" s="2096"/>
      <c r="Q68" s="2230"/>
    </row>
    <row r="69" spans="2:20" ht="14.25" hidden="1" thickBot="1">
      <c r="B69" s="2095"/>
      <c r="C69" s="2096"/>
      <c r="D69" s="2091"/>
      <c r="E69" s="2096"/>
      <c r="F69" s="2091"/>
      <c r="G69" s="2096"/>
      <c r="H69" s="3153"/>
      <c r="I69" s="3154" t="s">
        <v>4032</v>
      </c>
      <c r="J69" s="3155">
        <v>0.8</v>
      </c>
      <c r="K69" s="3023"/>
      <c r="L69" s="2091"/>
      <c r="M69" s="2096"/>
      <c r="N69" s="2096"/>
      <c r="O69" s="2091"/>
      <c r="P69" s="2096"/>
      <c r="Q69" s="2230"/>
    </row>
    <row r="70" spans="2:20">
      <c r="B70" s="2095"/>
      <c r="C70" s="2096"/>
      <c r="D70" s="2091"/>
      <c r="E70" s="2101" t="s">
        <v>4033</v>
      </c>
      <c r="F70" s="2091"/>
      <c r="G70" s="3148"/>
      <c r="H70" s="2096" t="s">
        <v>4034</v>
      </c>
      <c r="I70" s="2096"/>
      <c r="J70" s="2096" t="s">
        <v>4035</v>
      </c>
      <c r="K70" s="3023"/>
      <c r="L70" s="2091"/>
      <c r="M70" s="2096"/>
      <c r="N70" s="2096"/>
      <c r="O70" s="2091"/>
      <c r="P70" s="2096"/>
      <c r="Q70" s="2230"/>
    </row>
    <row r="71" spans="2:20">
      <c r="B71" s="2095"/>
      <c r="C71" s="2096"/>
      <c r="D71" s="2091"/>
      <c r="E71" s="2101"/>
      <c r="F71" s="2091"/>
      <c r="G71" s="2096"/>
      <c r="H71" s="2096"/>
      <c r="I71" s="2096"/>
      <c r="J71" s="2096"/>
      <c r="K71" s="3023"/>
      <c r="L71" s="2091"/>
      <c r="M71" s="2096"/>
      <c r="N71" s="2096"/>
      <c r="O71" s="2091"/>
      <c r="P71" s="2096"/>
      <c r="Q71" s="2230"/>
    </row>
    <row r="72" spans="2:20">
      <c r="B72" s="2095"/>
      <c r="C72" s="2096"/>
      <c r="D72" s="2101" t="s">
        <v>4036</v>
      </c>
      <c r="E72" s="2101"/>
      <c r="F72" s="2091"/>
      <c r="G72" s="2091"/>
      <c r="H72" s="2091"/>
      <c r="I72" s="2096"/>
      <c r="J72" s="2091"/>
      <c r="K72" s="2091"/>
      <c r="L72" s="2091"/>
      <c r="M72" s="2091"/>
      <c r="N72" s="2096"/>
      <c r="O72" s="2091"/>
      <c r="P72" s="2096"/>
      <c r="Q72" s="2230"/>
    </row>
    <row r="73" spans="2:20" ht="14.25" thickBot="1">
      <c r="B73" s="2095"/>
      <c r="C73" s="2096"/>
      <c r="D73" s="2101"/>
      <c r="E73" s="2096"/>
      <c r="F73" s="2101"/>
      <c r="G73" s="3132" t="s">
        <v>4014</v>
      </c>
      <c r="H73" s="3132" t="s">
        <v>3987</v>
      </c>
      <c r="I73" s="2096"/>
      <c r="J73" s="2091"/>
      <c r="K73" s="2091"/>
      <c r="L73" s="2091"/>
      <c r="M73" s="2091"/>
      <c r="N73" s="2096"/>
      <c r="O73" s="2091"/>
      <c r="P73" s="2096"/>
      <c r="Q73" s="2230"/>
    </row>
    <row r="74" spans="2:20" ht="14.25" thickBot="1">
      <c r="B74" s="2095"/>
      <c r="C74" s="2096"/>
      <c r="D74" s="2091"/>
      <c r="E74" s="2096"/>
      <c r="F74" s="2100" t="s">
        <v>4037</v>
      </c>
      <c r="G74" s="3143">
        <f>G47</f>
        <v>0</v>
      </c>
      <c r="H74" s="2318" t="e">
        <f>G74/G77</f>
        <v>#DIV/0!</v>
      </c>
      <c r="I74" s="2096"/>
      <c r="J74" s="3134" t="str">
        <f>J41</f>
        <v>BEI未入力</v>
      </c>
      <c r="K74" s="2091"/>
      <c r="L74" s="2091"/>
      <c r="M74" s="2091"/>
      <c r="N74" s="2096"/>
      <c r="O74" s="2091"/>
      <c r="P74" s="2096"/>
      <c r="Q74" s="2230"/>
    </row>
    <row r="75" spans="2:20" ht="14.25" thickBot="1">
      <c r="B75" s="2095"/>
      <c r="C75" s="2096"/>
      <c r="D75" s="2091"/>
      <c r="E75" s="2096"/>
      <c r="F75" s="2100" t="s">
        <v>4038</v>
      </c>
      <c r="G75" s="3143">
        <f>G56</f>
        <v>0</v>
      </c>
      <c r="H75" s="2318" t="e">
        <f>G75/G77</f>
        <v>#DIV/0!</v>
      </c>
      <c r="I75" s="2096"/>
      <c r="J75" s="3134" t="str">
        <f>J50</f>
        <v>BEI未入力</v>
      </c>
      <c r="K75" s="2091"/>
      <c r="L75" s="2091"/>
      <c r="M75" s="2091"/>
      <c r="N75" s="2096"/>
      <c r="O75" s="2091"/>
      <c r="P75" s="2096"/>
      <c r="Q75" s="2230"/>
    </row>
    <row r="76" spans="2:20" ht="14.25" thickBot="1">
      <c r="B76" s="2095"/>
      <c r="C76" s="2096"/>
      <c r="D76" s="2091"/>
      <c r="E76" s="2096"/>
      <c r="F76" s="2100" t="s">
        <v>4039</v>
      </c>
      <c r="G76" s="3143">
        <f>G70</f>
        <v>0</v>
      </c>
      <c r="H76" s="2318" t="e">
        <f>G76/G77</f>
        <v>#DIV/0!</v>
      </c>
      <c r="I76" s="2096"/>
      <c r="J76" s="3156" t="str">
        <f>F62</f>
        <v>算定プログラムによる評価</v>
      </c>
      <c r="K76" s="2091"/>
      <c r="L76" s="2091"/>
      <c r="M76" s="2091"/>
      <c r="N76" s="2096"/>
      <c r="O76" s="2091"/>
      <c r="P76" s="2096"/>
      <c r="Q76" s="2230"/>
    </row>
    <row r="77" spans="2:20" ht="14.25" thickBot="1">
      <c r="B77" s="2095"/>
      <c r="C77" s="2096"/>
      <c r="D77" s="2091"/>
      <c r="E77" s="2096"/>
      <c r="F77" s="2245" t="s">
        <v>4040</v>
      </c>
      <c r="G77" s="3143">
        <f>SUM(G74:G76)</f>
        <v>0</v>
      </c>
      <c r="H77" s="3143" t="e">
        <f>SUM(H74:H76)</f>
        <v>#DIV/0!</v>
      </c>
      <c r="I77" s="2096"/>
      <c r="J77" s="3134" t="e">
        <f>SUMPRODUCT(H74:H76,J74:J76)</f>
        <v>#DIV/0!</v>
      </c>
      <c r="K77" s="3157" t="str">
        <f>IF(G77&lt;&gt;G35,"建物全体の面積と評価対象面積の合計があっていません。","")</f>
        <v>建物全体の面積と評価対象面積の合計があっていません。</v>
      </c>
      <c r="L77" s="2091"/>
      <c r="M77" s="2096"/>
      <c r="N77" s="2096"/>
      <c r="O77" s="2091"/>
      <c r="P77" s="2096"/>
      <c r="Q77" s="2230"/>
    </row>
    <row r="78" spans="2:20">
      <c r="B78" s="2095"/>
      <c r="C78" s="2231"/>
      <c r="D78" s="2091"/>
      <c r="E78" s="2096"/>
      <c r="F78" s="2096"/>
      <c r="G78" s="2096"/>
      <c r="H78" s="2091"/>
      <c r="I78" s="2096"/>
      <c r="J78" s="2096"/>
      <c r="K78" s="2096"/>
      <c r="L78" s="3133"/>
      <c r="M78" s="2096"/>
      <c r="N78" s="2096"/>
      <c r="O78" s="2096"/>
      <c r="P78" s="2096"/>
      <c r="Q78" s="2230"/>
    </row>
    <row r="79" spans="2:20">
      <c r="B79" s="2095"/>
      <c r="C79" s="3158" t="s">
        <v>4041</v>
      </c>
      <c r="D79" s="2091" t="s">
        <v>4042</v>
      </c>
      <c r="E79" s="2096"/>
      <c r="F79" s="2091"/>
      <c r="G79" s="2096"/>
      <c r="H79" s="829"/>
      <c r="I79" s="2096"/>
      <c r="J79" s="2091"/>
      <c r="K79" s="2091"/>
      <c r="L79" s="2091"/>
      <c r="M79" s="2096"/>
      <c r="N79" s="2096"/>
      <c r="O79" s="2091"/>
      <c r="P79" s="2096"/>
      <c r="Q79" s="2230"/>
    </row>
    <row r="80" spans="2:20">
      <c r="B80" s="2095"/>
      <c r="C80" s="2231"/>
      <c r="D80" s="3158"/>
      <c r="E80" s="2091"/>
      <c r="F80" s="2091"/>
      <c r="G80" s="2096"/>
      <c r="H80" s="829"/>
      <c r="I80" s="2096"/>
      <c r="J80" s="3159" t="s">
        <v>102</v>
      </c>
      <c r="K80" s="3160" t="s">
        <v>3975</v>
      </c>
      <c r="L80" s="3161"/>
      <c r="M80" s="3161"/>
      <c r="N80" s="3159" t="s">
        <v>374</v>
      </c>
      <c r="O80" s="2091"/>
      <c r="P80" s="2096"/>
      <c r="Q80" s="2230"/>
    </row>
    <row r="81" spans="2:20" ht="37.5" customHeight="1">
      <c r="B81" s="2095"/>
      <c r="C81" s="2096"/>
      <c r="D81" s="2091"/>
      <c r="E81" s="2096"/>
      <c r="F81" s="2091"/>
      <c r="G81" s="2096"/>
      <c r="H81" s="2091"/>
      <c r="I81" s="2091"/>
      <c r="J81" s="3162"/>
      <c r="K81" s="3132" t="s">
        <v>4043</v>
      </c>
      <c r="L81" s="3163" t="s">
        <v>4044</v>
      </c>
      <c r="M81" s="3164" t="s">
        <v>4045</v>
      </c>
      <c r="N81" s="3162"/>
      <c r="O81" s="3147"/>
      <c r="P81" s="2096"/>
      <c r="Q81" s="2230"/>
    </row>
    <row r="82" spans="2:20" ht="14.25" customHeight="1">
      <c r="B82" s="2095"/>
      <c r="C82" s="2096"/>
      <c r="D82" s="47" t="s">
        <v>4046</v>
      </c>
      <c r="E82" s="47"/>
      <c r="F82" s="2096"/>
      <c r="G82" s="2096"/>
      <c r="H82" s="2096"/>
      <c r="I82" s="2096"/>
      <c r="J82" s="2243"/>
      <c r="K82" s="3165"/>
      <c r="L82" s="3165"/>
      <c r="M82" s="3165"/>
      <c r="N82" s="2103">
        <f>SUM(J82:M82)</f>
        <v>0</v>
      </c>
      <c r="O82" s="3023" t="s">
        <v>521</v>
      </c>
      <c r="P82" s="2096"/>
      <c r="Q82" s="2230"/>
    </row>
    <row r="83" spans="2:20" ht="14.25" customHeight="1">
      <c r="B83" s="2095"/>
      <c r="C83" s="2096"/>
      <c r="D83" s="47" t="s">
        <v>4047</v>
      </c>
      <c r="E83" s="47"/>
      <c r="F83" s="2096"/>
      <c r="G83" s="2096"/>
      <c r="H83" s="2096"/>
      <c r="I83" s="2096"/>
      <c r="J83" s="2243"/>
      <c r="K83" s="3165"/>
      <c r="L83" s="3165"/>
      <c r="M83" s="3165"/>
      <c r="N83" s="2103">
        <f>SUM(J83:M83)</f>
        <v>0</v>
      </c>
      <c r="O83" s="2096"/>
      <c r="P83" s="2096"/>
      <c r="Q83" s="2230"/>
    </row>
    <row r="84" spans="2:20">
      <c r="B84" s="2095"/>
      <c r="C84" s="2096"/>
      <c r="D84" s="47" t="s">
        <v>4048</v>
      </c>
      <c r="E84" s="2096"/>
      <c r="F84" s="2096"/>
      <c r="G84" s="2096"/>
      <c r="H84" s="2096"/>
      <c r="I84" s="2100" t="s">
        <v>4049</v>
      </c>
      <c r="J84" s="3369"/>
      <c r="K84" s="3369"/>
      <c r="L84" s="3369"/>
      <c r="M84" s="3164"/>
      <c r="N84" s="2103">
        <f>SUM(J84:L84)</f>
        <v>0</v>
      </c>
      <c r="O84" s="3023"/>
      <c r="P84" s="3370" t="s">
        <v>4121</v>
      </c>
      <c r="Q84" s="2230"/>
    </row>
    <row r="85" spans="2:20">
      <c r="B85" s="2095"/>
      <c r="C85" s="2096"/>
      <c r="D85" s="47"/>
      <c r="E85" s="2096"/>
      <c r="F85" s="2096"/>
      <c r="G85" s="2096"/>
      <c r="H85" s="2096"/>
      <c r="I85" s="2100" t="s">
        <v>4050</v>
      </c>
      <c r="J85" s="3165"/>
      <c r="K85" s="3165"/>
      <c r="L85" s="3165"/>
      <c r="M85" s="3164"/>
      <c r="N85" s="2103">
        <f>SUM(J85:L85)</f>
        <v>0</v>
      </c>
      <c r="O85" s="3023"/>
      <c r="P85" s="3370" t="s">
        <v>4122</v>
      </c>
      <c r="Q85" s="2230"/>
    </row>
    <row r="86" spans="2:20">
      <c r="B86" s="2095"/>
      <c r="C86" s="2096"/>
      <c r="D86" s="47"/>
      <c r="E86" s="3138" t="s">
        <v>4051</v>
      </c>
      <c r="F86" s="2096"/>
      <c r="G86" s="2096"/>
      <c r="H86" s="2096"/>
      <c r="I86" s="2096"/>
      <c r="J86" s="2096"/>
      <c r="K86" s="2096"/>
      <c r="L86" s="2096"/>
      <c r="M86" s="2096"/>
      <c r="N86" s="2096"/>
      <c r="O86" s="2096"/>
      <c r="P86" s="2096"/>
      <c r="Q86" s="2230"/>
    </row>
    <row r="87" spans="2:20" ht="39" customHeight="1">
      <c r="B87" s="2095"/>
      <c r="C87" s="2096"/>
      <c r="D87" s="2096"/>
      <c r="E87" s="3123" t="s">
        <v>4052</v>
      </c>
      <c r="F87" s="4019" t="s">
        <v>4053</v>
      </c>
      <c r="G87" s="4019"/>
      <c r="H87" s="4019"/>
      <c r="I87" s="4019"/>
      <c r="J87" s="4019"/>
      <c r="K87" s="4019"/>
      <c r="L87" s="4019"/>
      <c r="M87" s="4019"/>
      <c r="N87" s="4019"/>
      <c r="O87" s="4019"/>
      <c r="P87" s="4019"/>
      <c r="Q87" s="2230"/>
    </row>
    <row r="88" spans="2:20" ht="3.75" customHeight="1" thickBot="1">
      <c r="B88" s="2234"/>
      <c r="C88" s="2235"/>
      <c r="D88" s="2235"/>
      <c r="E88" s="3166"/>
      <c r="F88" s="3167"/>
      <c r="G88" s="3167"/>
      <c r="H88" s="3167"/>
      <c r="I88" s="3167"/>
      <c r="J88" s="3167"/>
      <c r="K88" s="3167"/>
      <c r="L88" s="3167"/>
      <c r="M88" s="2235"/>
      <c r="N88" s="3167"/>
      <c r="O88" s="3167"/>
      <c r="P88" s="3167"/>
      <c r="Q88" s="2236"/>
    </row>
    <row r="89" spans="2:20" ht="3.75" customHeight="1" thickBot="1">
      <c r="B89" s="2316"/>
      <c r="C89" s="2316"/>
      <c r="D89" s="2316"/>
      <c r="E89" s="2316"/>
      <c r="F89" s="2316"/>
      <c r="G89" s="2316"/>
      <c r="H89" s="2316"/>
      <c r="I89" s="2316"/>
      <c r="J89" s="2316"/>
      <c r="K89" s="2316"/>
      <c r="L89" s="2316"/>
      <c r="M89" s="2316"/>
      <c r="N89" s="2316"/>
      <c r="O89" s="2316"/>
      <c r="P89" s="2316"/>
      <c r="Q89" s="2316"/>
    </row>
    <row r="90" spans="2:20" ht="27" customHeight="1">
      <c r="B90" s="2237"/>
      <c r="C90" s="2238" t="s">
        <v>1791</v>
      </c>
      <c r="D90" s="2239"/>
      <c r="E90" s="2239"/>
      <c r="F90" s="2239"/>
      <c r="G90" s="2239"/>
      <c r="H90" s="2239"/>
      <c r="I90" s="2239"/>
      <c r="J90" s="2239"/>
      <c r="K90" s="2239"/>
      <c r="L90" s="2239"/>
      <c r="M90" s="2239"/>
      <c r="N90" s="2240"/>
      <c r="O90" s="2241"/>
      <c r="P90" s="2240"/>
      <c r="Q90" s="2242"/>
    </row>
    <row r="91" spans="2:20">
      <c r="B91" s="2099"/>
      <c r="C91" s="836" t="s">
        <v>4054</v>
      </c>
      <c r="D91" s="836"/>
      <c r="E91" s="2096"/>
      <c r="F91" s="2096"/>
      <c r="G91" s="2091"/>
      <c r="H91" s="2096"/>
      <c r="I91" s="2096"/>
      <c r="J91" s="2096"/>
      <c r="K91" s="2096"/>
      <c r="L91" s="2096"/>
      <c r="M91" s="2096"/>
      <c r="N91" s="2096" t="s">
        <v>1973</v>
      </c>
      <c r="O91" s="2096"/>
      <c r="P91" s="2343" t="s">
        <v>1974</v>
      </c>
      <c r="Q91" s="2223"/>
    </row>
    <row r="92" spans="2:20">
      <c r="B92" s="2099"/>
      <c r="C92" s="836"/>
      <c r="D92" s="2091" t="s">
        <v>102</v>
      </c>
      <c r="E92" s="2091"/>
      <c r="F92" s="2100" t="s">
        <v>4055</v>
      </c>
      <c r="G92" s="2102" t="str">
        <f>IF(H27="",S92,H27)</f>
        <v>BEI未入力</v>
      </c>
      <c r="H92" s="2096"/>
      <c r="I92" s="2096"/>
      <c r="J92" s="2101" t="s">
        <v>4056</v>
      </c>
      <c r="K92" s="2096"/>
      <c r="L92" s="2098" t="s">
        <v>103</v>
      </c>
      <c r="M92" s="2096"/>
      <c r="N92" s="2317" t="s">
        <v>521</v>
      </c>
      <c r="O92" s="841"/>
      <c r="P92" s="2317" t="s">
        <v>521</v>
      </c>
      <c r="Q92" s="835"/>
      <c r="S92" s="2445" t="s">
        <v>4012</v>
      </c>
    </row>
    <row r="93" spans="2:20">
      <c r="B93" s="2099"/>
      <c r="C93" s="836"/>
      <c r="D93" s="836"/>
      <c r="E93" s="836"/>
      <c r="F93" s="2100" t="s">
        <v>4057</v>
      </c>
      <c r="G93" s="2102">
        <f>J85</f>
        <v>0</v>
      </c>
      <c r="H93" s="3168" t="s">
        <v>521</v>
      </c>
      <c r="I93" s="2096"/>
      <c r="J93" s="2103">
        <f>(H117*N117+N118*H118)/1000</f>
        <v>0</v>
      </c>
      <c r="K93" s="3168" t="s">
        <v>521</v>
      </c>
      <c r="L93" s="2224">
        <f>N121</f>
        <v>1</v>
      </c>
      <c r="M93" s="2104"/>
      <c r="N93" s="2225" t="e">
        <f>(J113*G92+G93-J93)*L93</f>
        <v>#VALUE!</v>
      </c>
      <c r="O93" s="841"/>
      <c r="P93" s="2225">
        <f>J113</f>
        <v>38000</v>
      </c>
      <c r="Q93" s="2228"/>
    </row>
    <row r="94" spans="2:20" ht="6.75" customHeight="1">
      <c r="B94" s="2095"/>
      <c r="C94" s="2096"/>
      <c r="D94" s="2096"/>
      <c r="E94" s="2096"/>
      <c r="F94" s="2096"/>
      <c r="G94" s="2096"/>
      <c r="H94" s="2096"/>
      <c r="I94" s="2096"/>
      <c r="J94" s="2096"/>
      <c r="K94" s="2096"/>
      <c r="L94" s="2096"/>
      <c r="M94" s="2096"/>
      <c r="N94" s="2096"/>
      <c r="O94" s="2096"/>
      <c r="P94" s="2096"/>
      <c r="Q94" s="2230"/>
    </row>
    <row r="95" spans="2:20">
      <c r="B95" s="2095"/>
      <c r="C95" s="2096"/>
      <c r="D95" s="2096"/>
      <c r="E95" s="2096"/>
      <c r="F95" s="2096"/>
      <c r="G95" s="2098"/>
      <c r="H95" s="2098" t="s">
        <v>526</v>
      </c>
      <c r="I95" s="2096"/>
      <c r="J95" s="2098" t="s">
        <v>4058</v>
      </c>
      <c r="K95" s="2098"/>
      <c r="L95" s="2098" t="s">
        <v>2064</v>
      </c>
      <c r="M95" s="2096"/>
      <c r="N95" s="2096"/>
      <c r="O95" s="2096"/>
      <c r="P95" s="2096"/>
      <c r="Q95" s="2230"/>
    </row>
    <row r="96" spans="2:20">
      <c r="B96" s="2095"/>
      <c r="C96" s="2096"/>
      <c r="D96" s="2096"/>
      <c r="E96" s="2096"/>
      <c r="F96" s="2096"/>
      <c r="G96" s="2100"/>
      <c r="H96" s="2100" t="s">
        <v>4059</v>
      </c>
      <c r="I96" s="2096"/>
      <c r="J96" s="2098" t="s">
        <v>523</v>
      </c>
      <c r="K96" s="2098"/>
      <c r="L96" s="3169" t="s">
        <v>1468</v>
      </c>
      <c r="M96" s="2096"/>
      <c r="N96" s="2096"/>
      <c r="O96" s="2096"/>
      <c r="P96" s="2096"/>
      <c r="Q96" s="2230"/>
      <c r="S96" s="2445" t="s">
        <v>564</v>
      </c>
      <c r="T96" s="2257">
        <f>T113/P93</f>
        <v>0.9</v>
      </c>
    </row>
    <row r="97" spans="2:19">
      <c r="B97" s="2095"/>
      <c r="C97" s="2096"/>
      <c r="D97" s="2096"/>
      <c r="E97" s="3170" t="s">
        <v>1461</v>
      </c>
      <c r="F97" s="3171" t="s">
        <v>356</v>
      </c>
      <c r="G97" s="3172"/>
      <c r="H97" s="2105">
        <f>メイン!R47</f>
        <v>20000</v>
      </c>
      <c r="I97" s="2096"/>
      <c r="J97" s="2105">
        <f>CO2データ!H190</f>
        <v>1900</v>
      </c>
      <c r="K97" s="2096"/>
      <c r="L97" s="3173" t="e">
        <f>CO2データ!R190</f>
        <v>#VALUE!</v>
      </c>
      <c r="M97" s="2096"/>
      <c r="N97" s="2096"/>
      <c r="O97" s="2096"/>
      <c r="P97" s="2096"/>
      <c r="Q97" s="2230"/>
      <c r="S97" s="2255">
        <f>CO2データ!N190</f>
        <v>0.9</v>
      </c>
    </row>
    <row r="98" spans="2:19">
      <c r="B98" s="2095"/>
      <c r="C98" s="2096"/>
      <c r="D98" s="2096"/>
      <c r="E98" s="3174"/>
      <c r="F98" s="3171" t="s">
        <v>1891</v>
      </c>
      <c r="G98" s="3172"/>
      <c r="H98" s="2105">
        <f>メイン!R48</f>
        <v>0</v>
      </c>
      <c r="I98" s="2096"/>
      <c r="J98" s="2105">
        <f>CO2データ!H191</f>
        <v>0</v>
      </c>
      <c r="K98" s="2096"/>
      <c r="L98" s="3173" t="e">
        <f>CO2データ!R191</f>
        <v>#VALUE!</v>
      </c>
      <c r="M98" s="2096"/>
      <c r="N98" s="2096"/>
      <c r="O98" s="2096"/>
      <c r="P98" s="2096"/>
      <c r="Q98" s="2230"/>
      <c r="S98" s="2255">
        <f>CO2データ!N191</f>
        <v>0.82</v>
      </c>
    </row>
    <row r="99" spans="2:19">
      <c r="B99" s="2095"/>
      <c r="C99" s="2096"/>
      <c r="D99" s="2096"/>
      <c r="E99" s="3175" t="s">
        <v>1895</v>
      </c>
      <c r="F99" s="3171" t="s">
        <v>1896</v>
      </c>
      <c r="G99" s="3172"/>
      <c r="H99" s="2105">
        <f>メイン!R49</f>
        <v>0</v>
      </c>
      <c r="I99" s="2096"/>
      <c r="J99" s="2105">
        <f>CO2データ!H192</f>
        <v>0</v>
      </c>
      <c r="K99" s="2096"/>
      <c r="L99" s="3173" t="e">
        <f>CO2データ!R192</f>
        <v>#VALUE!</v>
      </c>
      <c r="M99" s="2096"/>
      <c r="N99" s="2096"/>
      <c r="O99" s="2096"/>
      <c r="P99" s="2096"/>
      <c r="Q99" s="2230"/>
      <c r="S99" s="2255">
        <f>CO2データ!N192</f>
        <v>0.68</v>
      </c>
    </row>
    <row r="100" spans="2:19">
      <c r="B100" s="2095"/>
      <c r="C100" s="2096"/>
      <c r="D100" s="2096"/>
      <c r="E100" s="3175"/>
      <c r="F100" s="3176" t="s">
        <v>1897</v>
      </c>
      <c r="G100" s="3177" t="s">
        <v>1898</v>
      </c>
      <c r="H100" s="2105">
        <f>メイン!R50</f>
        <v>0</v>
      </c>
      <c r="I100" s="2096"/>
      <c r="J100" s="2105">
        <f>CO2データ!H193</f>
        <v>0</v>
      </c>
      <c r="K100" s="2096"/>
      <c r="L100" s="3173" t="e">
        <f>CO2データ!R193</f>
        <v>#VALUE!</v>
      </c>
      <c r="M100" s="2096"/>
      <c r="N100" s="2096"/>
      <c r="O100" s="2096"/>
      <c r="P100" s="2096"/>
      <c r="Q100" s="2230"/>
      <c r="S100" s="2255">
        <f>CO2データ!N193</f>
        <v>0.40660921848225862</v>
      </c>
    </row>
    <row r="101" spans="2:19">
      <c r="B101" s="2095"/>
      <c r="C101" s="2096"/>
      <c r="D101" s="2096"/>
      <c r="E101" s="3175"/>
      <c r="F101" s="3178"/>
      <c r="G101" s="3177" t="s">
        <v>2222</v>
      </c>
      <c r="H101" s="2105">
        <f>メイン!R51</f>
        <v>0</v>
      </c>
      <c r="I101" s="2096"/>
      <c r="J101" s="2105">
        <f>CO2データ!H194</f>
        <v>0</v>
      </c>
      <c r="K101" s="2096"/>
      <c r="L101" s="3173" t="e">
        <f>CO2データ!R194</f>
        <v>#VALUE!</v>
      </c>
      <c r="M101" s="2096"/>
      <c r="N101" s="2096"/>
      <c r="O101" s="2096"/>
      <c r="P101" s="2096"/>
      <c r="Q101" s="2230"/>
      <c r="S101" s="2255">
        <f>CO2データ!N194</f>
        <v>0.70611799443264323</v>
      </c>
    </row>
    <row r="102" spans="2:19">
      <c r="B102" s="2095"/>
      <c r="C102" s="2096"/>
      <c r="D102" s="2096"/>
      <c r="E102" s="3175"/>
      <c r="F102" s="3171" t="s">
        <v>1899</v>
      </c>
      <c r="G102" s="3172"/>
      <c r="H102" s="2105">
        <f>メイン!R52</f>
        <v>0</v>
      </c>
      <c r="I102" s="2096"/>
      <c r="J102" s="2105">
        <f>CO2データ!H195</f>
        <v>0</v>
      </c>
      <c r="K102" s="2096"/>
      <c r="L102" s="3173" t="e">
        <f>CO2データ!R195</f>
        <v>#VALUE!</v>
      </c>
      <c r="M102" s="2096"/>
      <c r="N102" s="2096"/>
      <c r="O102" s="2096"/>
      <c r="P102" s="2096"/>
      <c r="Q102" s="2230"/>
      <c r="S102" s="2255">
        <f>CO2データ!N195</f>
        <v>0.73</v>
      </c>
    </row>
    <row r="103" spans="2:19">
      <c r="B103" s="2095"/>
      <c r="C103" s="2096"/>
      <c r="D103" s="2096"/>
      <c r="E103" s="3174"/>
      <c r="F103" s="3171" t="s">
        <v>1900</v>
      </c>
      <c r="G103" s="3172"/>
      <c r="H103" s="2105">
        <f>メイン!R53</f>
        <v>0</v>
      </c>
      <c r="I103" s="2096"/>
      <c r="J103" s="2105">
        <f>CO2データ!H196</f>
        <v>0</v>
      </c>
      <c r="K103" s="2096"/>
      <c r="L103" s="3173" t="e">
        <f>CO2データ!R196</f>
        <v>#VALUE!</v>
      </c>
      <c r="M103" s="2096"/>
      <c r="N103" s="2096"/>
      <c r="O103" s="2096"/>
      <c r="P103" s="2096"/>
      <c r="Q103" s="2230"/>
      <c r="S103" s="2255">
        <f>CO2データ!N196</f>
        <v>0.75</v>
      </c>
    </row>
    <row r="104" spans="2:19">
      <c r="B104" s="2095"/>
      <c r="C104" s="2096"/>
      <c r="D104" s="2096"/>
      <c r="E104" s="3170" t="s">
        <v>1892</v>
      </c>
      <c r="F104" s="3171" t="s">
        <v>1615</v>
      </c>
      <c r="G104" s="3172"/>
      <c r="H104" s="2105">
        <f>メイン!R54</f>
        <v>0</v>
      </c>
      <c r="I104" s="2096"/>
      <c r="J104" s="2105">
        <f>CO2データ!H197</f>
        <v>0</v>
      </c>
      <c r="K104" s="2096"/>
      <c r="L104" s="3173" t="e">
        <f>CO2データ!R197</f>
        <v>#VALUE!</v>
      </c>
      <c r="M104" s="2096"/>
      <c r="N104" s="2096"/>
      <c r="O104" s="2096"/>
      <c r="P104" s="2096"/>
      <c r="Q104" s="2230"/>
      <c r="S104" s="2255">
        <f>CO2データ!N197</f>
        <v>0.92</v>
      </c>
    </row>
    <row r="105" spans="2:19">
      <c r="B105" s="2095"/>
      <c r="C105" s="2096"/>
      <c r="D105" s="2096"/>
      <c r="E105" s="3174"/>
      <c r="F105" s="3171" t="s">
        <v>1893</v>
      </c>
      <c r="G105" s="3172"/>
      <c r="H105" s="2105">
        <f>メイン!R55</f>
        <v>0</v>
      </c>
      <c r="I105" s="2096"/>
      <c r="J105" s="2105">
        <f>CO2データ!H198</f>
        <v>0</v>
      </c>
      <c r="K105" s="2096"/>
      <c r="L105" s="3173" t="e">
        <f>CO2データ!R198</f>
        <v>#VALUE!</v>
      </c>
      <c r="M105" s="2096"/>
      <c r="N105" s="2096"/>
      <c r="O105" s="2096"/>
      <c r="P105" s="2096"/>
      <c r="Q105" s="2230"/>
      <c r="S105" s="2255">
        <f>CO2データ!N198</f>
        <v>0.93</v>
      </c>
    </row>
    <row r="106" spans="2:19">
      <c r="B106" s="2095"/>
      <c r="C106" s="2096"/>
      <c r="D106" s="2096"/>
      <c r="E106" s="3171" t="s">
        <v>362</v>
      </c>
      <c r="F106" s="3179"/>
      <c r="G106" s="3172"/>
      <c r="H106" s="2105">
        <f>メイン!R56</f>
        <v>0</v>
      </c>
      <c r="I106" s="2096"/>
      <c r="J106" s="2105">
        <f>CO2データ!H199</f>
        <v>0</v>
      </c>
      <c r="K106" s="2096"/>
      <c r="L106" s="3173" t="e">
        <f>CO2データ!R199</f>
        <v>#VALUE!</v>
      </c>
      <c r="M106" s="2096"/>
      <c r="N106" s="2096"/>
      <c r="O106" s="2096"/>
      <c r="P106" s="2096"/>
      <c r="Q106" s="2230"/>
      <c r="S106" s="2255">
        <f>CO2データ!N199</f>
        <v>0.49</v>
      </c>
    </row>
    <row r="107" spans="2:19">
      <c r="B107" s="2095"/>
      <c r="C107" s="2096"/>
      <c r="D107" s="2096"/>
      <c r="E107" s="3170" t="s">
        <v>1901</v>
      </c>
      <c r="F107" s="3171" t="s">
        <v>1902</v>
      </c>
      <c r="G107" s="3172"/>
      <c r="H107" s="2105">
        <f>メイン!R57</f>
        <v>0</v>
      </c>
      <c r="I107" s="2096"/>
      <c r="J107" s="2105">
        <f>CO2データ!H200</f>
        <v>0</v>
      </c>
      <c r="K107" s="2096"/>
      <c r="L107" s="3173" t="e">
        <f>CO2データ!R200</f>
        <v>#VALUE!</v>
      </c>
      <c r="M107" s="2096"/>
      <c r="N107" s="2096"/>
      <c r="O107" s="2096"/>
      <c r="P107" s="2096"/>
      <c r="Q107" s="2230"/>
      <c r="S107" s="2255">
        <f>CO2データ!N200</f>
        <v>0.76</v>
      </c>
    </row>
    <row r="108" spans="2:19">
      <c r="B108" s="2095"/>
      <c r="C108" s="2096"/>
      <c r="D108" s="2096"/>
      <c r="E108" s="3175"/>
      <c r="F108" s="3171" t="s">
        <v>1903</v>
      </c>
      <c r="G108" s="3172"/>
      <c r="H108" s="2105">
        <f>メイン!R58</f>
        <v>0</v>
      </c>
      <c r="I108" s="2096"/>
      <c r="J108" s="2105">
        <f>CO2データ!H201</f>
        <v>0</v>
      </c>
      <c r="K108" s="2096"/>
      <c r="L108" s="3173" t="e">
        <f>CO2データ!R201</f>
        <v>#VALUE!</v>
      </c>
      <c r="M108" s="2096"/>
      <c r="N108" s="2096"/>
      <c r="O108" s="2096"/>
      <c r="P108" s="2096"/>
      <c r="Q108" s="2230"/>
      <c r="S108" s="2255">
        <f>CO2データ!N201</f>
        <v>0.81</v>
      </c>
    </row>
    <row r="109" spans="2:19">
      <c r="B109" s="2095"/>
      <c r="C109" s="2096"/>
      <c r="D109" s="2096"/>
      <c r="E109" s="3175"/>
      <c r="F109" s="3176" t="s">
        <v>1904</v>
      </c>
      <c r="G109" s="3180"/>
      <c r="H109" s="2105">
        <f>メイン!R59</f>
        <v>0</v>
      </c>
      <c r="I109" s="2096"/>
      <c r="J109" s="2105">
        <f>CO2データ!H202</f>
        <v>0</v>
      </c>
      <c r="K109" s="2096"/>
      <c r="L109" s="3173" t="e">
        <f>CO2データ!R202</f>
        <v>#VALUE!</v>
      </c>
      <c r="M109" s="2096"/>
      <c r="N109" s="2096"/>
      <c r="O109" s="2096"/>
      <c r="P109" s="2096"/>
      <c r="Q109" s="2230"/>
      <c r="S109" s="2255">
        <f>CO2データ!N202</f>
        <v>0.61</v>
      </c>
    </row>
    <row r="110" spans="2:19">
      <c r="B110" s="2095"/>
      <c r="C110" s="2096"/>
      <c r="D110" s="2096"/>
      <c r="E110" s="3171" t="s">
        <v>372</v>
      </c>
      <c r="F110" s="3179"/>
      <c r="G110" s="3172"/>
      <c r="H110" s="2105">
        <f>メイン!E60</f>
        <v>0</v>
      </c>
      <c r="I110" s="2096"/>
      <c r="J110" s="2105">
        <f>CO2データ!H203</f>
        <v>0</v>
      </c>
      <c r="K110" s="2096"/>
      <c r="L110" s="3173" t="e">
        <f>CO2データ!R203</f>
        <v>#VALUE!</v>
      </c>
      <c r="M110" s="2096"/>
      <c r="N110" s="2096"/>
      <c r="O110" s="2096"/>
      <c r="P110" s="2096"/>
      <c r="Q110" s="2230"/>
      <c r="S110" s="2255">
        <f>CO2データ!N203</f>
        <v>1</v>
      </c>
    </row>
    <row r="111" spans="2:19">
      <c r="B111" s="2095"/>
      <c r="C111" s="2096"/>
      <c r="D111" s="2096"/>
      <c r="E111" s="3171" t="s">
        <v>366</v>
      </c>
      <c r="F111" s="3179"/>
      <c r="G111" s="3172"/>
      <c r="H111" s="2105">
        <f>メイン!R61</f>
        <v>0</v>
      </c>
      <c r="I111" s="2096"/>
      <c r="J111" s="2105">
        <f>CO2データ!H204</f>
        <v>0</v>
      </c>
      <c r="K111" s="2096"/>
      <c r="L111" s="3173" t="e">
        <f>CO2データ!R204</f>
        <v>#VALUE!</v>
      </c>
      <c r="M111" s="2096"/>
      <c r="N111" s="2096"/>
      <c r="O111" s="2096"/>
      <c r="P111" s="2096"/>
      <c r="Q111" s="2230"/>
      <c r="S111" s="2255">
        <f>CO2データ!N204</f>
        <v>0.56000000000000005</v>
      </c>
    </row>
    <row r="112" spans="2:19" ht="14.25" thickBot="1">
      <c r="B112" s="2095"/>
      <c r="C112" s="2096"/>
      <c r="D112" s="2096"/>
      <c r="E112" s="3171" t="s">
        <v>1894</v>
      </c>
      <c r="F112" s="3179"/>
      <c r="G112" s="3172"/>
      <c r="H112" s="2105">
        <f>メイン!R62</f>
        <v>0</v>
      </c>
      <c r="I112" s="2096"/>
      <c r="J112" s="2105">
        <f>CO2データ!H205</f>
        <v>0</v>
      </c>
      <c r="K112" s="2096"/>
      <c r="L112" s="3181" t="e">
        <f>CO2データ!R205</f>
        <v>#VALUE!</v>
      </c>
      <c r="M112" s="2096"/>
      <c r="N112" s="2096"/>
      <c r="O112" s="2096"/>
      <c r="P112" s="2096"/>
      <c r="Q112" s="2230"/>
      <c r="S112" s="2255">
        <f>CO2データ!N205</f>
        <v>0.56000000000000005</v>
      </c>
    </row>
    <row r="113" spans="2:20" ht="14.25" thickBot="1">
      <c r="B113" s="2095"/>
      <c r="C113" s="2096"/>
      <c r="D113" s="2096"/>
      <c r="E113" s="3171" t="s">
        <v>102</v>
      </c>
      <c r="F113" s="3179" t="s">
        <v>374</v>
      </c>
      <c r="G113" s="3172"/>
      <c r="H113" s="2105">
        <f>SUM(H97:H112)</f>
        <v>20000</v>
      </c>
      <c r="I113" s="2096"/>
      <c r="J113" s="2105">
        <f>SUMPRODUCT(H97:H112,J97:J112)/1000</f>
        <v>38000</v>
      </c>
      <c r="K113" s="3023" t="s">
        <v>521</v>
      </c>
      <c r="L113" s="3182" t="e">
        <f>SUMPRODUCT(H97:H112,L97:L112)/H113</f>
        <v>#VALUE!</v>
      </c>
      <c r="M113" s="2096"/>
      <c r="N113" s="2096"/>
      <c r="O113" s="2096"/>
      <c r="P113" s="2096"/>
      <c r="Q113" s="2230"/>
      <c r="S113" s="2445" t="s">
        <v>4060</v>
      </c>
      <c r="T113" s="2256">
        <f>SUMPRODUCT(H97:H112,J97:J112,S97:S112)/1000</f>
        <v>34200</v>
      </c>
    </row>
    <row r="114" spans="2:20">
      <c r="B114" s="2095"/>
      <c r="C114" s="2096"/>
      <c r="D114" s="2096"/>
      <c r="E114" s="2096"/>
      <c r="F114" s="2096"/>
      <c r="G114" s="2096"/>
      <c r="H114" s="2096"/>
      <c r="I114" s="2096"/>
      <c r="J114" s="2096"/>
      <c r="K114" s="2096"/>
      <c r="L114" s="2096"/>
      <c r="M114" s="2096"/>
      <c r="N114" s="2096"/>
      <c r="O114" s="2096"/>
      <c r="P114" s="2096"/>
      <c r="Q114" s="2230"/>
    </row>
    <row r="115" spans="2:20">
      <c r="B115" s="2095"/>
      <c r="C115" s="2096"/>
      <c r="D115" s="2096"/>
      <c r="E115" s="843" t="s">
        <v>1790</v>
      </c>
      <c r="F115" s="2101"/>
      <c r="G115" s="2096"/>
      <c r="H115" s="2098" t="s">
        <v>526</v>
      </c>
      <c r="I115" s="2096"/>
      <c r="J115" s="2096"/>
      <c r="K115" s="2096"/>
      <c r="L115" s="2096"/>
      <c r="M115" s="2096"/>
      <c r="N115" s="2096"/>
      <c r="O115" s="2096"/>
      <c r="P115" s="2096"/>
      <c r="Q115" s="2230"/>
    </row>
    <row r="116" spans="2:20">
      <c r="B116" s="2106"/>
      <c r="C116" s="836"/>
      <c r="D116" s="836"/>
      <c r="E116" s="843"/>
      <c r="F116" s="843" t="s">
        <v>2422</v>
      </c>
      <c r="G116" s="2101"/>
      <c r="H116" s="3183" t="s">
        <v>4061</v>
      </c>
      <c r="I116" s="2100"/>
      <c r="J116" s="838" t="s">
        <v>1338</v>
      </c>
      <c r="K116" s="838" t="s">
        <v>1339</v>
      </c>
      <c r="L116" s="838" t="s">
        <v>1340</v>
      </c>
      <c r="M116" s="839" t="s">
        <v>259</v>
      </c>
      <c r="N116" s="839" t="s">
        <v>1719</v>
      </c>
      <c r="O116" s="2108"/>
      <c r="P116" s="3184"/>
      <c r="Q116" s="2109"/>
    </row>
    <row r="117" spans="2:20">
      <c r="B117" s="2106"/>
      <c r="C117" s="836"/>
      <c r="D117" s="836"/>
      <c r="E117" s="843"/>
      <c r="F117" s="843"/>
      <c r="G117" s="2100" t="s">
        <v>1680</v>
      </c>
      <c r="H117" s="2103">
        <f>H100+H101+G16</f>
        <v>320</v>
      </c>
      <c r="I117" s="2100"/>
      <c r="J117" s="3185">
        <v>0</v>
      </c>
      <c r="K117" s="3185">
        <v>1</v>
      </c>
      <c r="L117" s="3185">
        <v>15</v>
      </c>
      <c r="M117" s="2110">
        <f>採点LR1!L28</f>
        <v>3</v>
      </c>
      <c r="N117" s="2251">
        <f>IF(M117&gt;=5,$L117,IF(M117&gt;=4,$K117,$J117))</f>
        <v>0</v>
      </c>
      <c r="O117" s="2096"/>
      <c r="P117" s="3184"/>
      <c r="Q117" s="2109"/>
    </row>
    <row r="118" spans="2:20">
      <c r="B118" s="2106"/>
      <c r="C118" s="836"/>
      <c r="D118" s="836"/>
      <c r="E118" s="843"/>
      <c r="F118" s="843"/>
      <c r="G118" s="2101" t="s">
        <v>1681</v>
      </c>
      <c r="H118" s="3186">
        <f>H113-H100-H101</f>
        <v>20000</v>
      </c>
      <c r="I118" s="2100"/>
      <c r="J118" s="3185">
        <v>0</v>
      </c>
      <c r="K118" s="3185">
        <v>1</v>
      </c>
      <c r="L118" s="3185">
        <f>採点LR1!I36</f>
        <v>0</v>
      </c>
      <c r="M118" s="2110">
        <f>採点LR1!G28</f>
        <v>3</v>
      </c>
      <c r="N118" s="2251">
        <f>IF(M118&gt;=5,$L118,IF(M118&gt;=4,$K118,$J118))</f>
        <v>0</v>
      </c>
      <c r="O118" s="3023" t="s">
        <v>2375</v>
      </c>
      <c r="P118" s="3184"/>
      <c r="Q118" s="2109"/>
    </row>
    <row r="119" spans="2:20">
      <c r="B119" s="2106"/>
      <c r="C119" s="836"/>
      <c r="D119" s="836"/>
      <c r="E119" s="2112"/>
      <c r="F119" s="2112"/>
      <c r="G119" s="2107"/>
      <c r="H119" s="2101"/>
      <c r="I119" s="2101"/>
      <c r="J119" s="2101"/>
      <c r="K119" s="2101"/>
      <c r="L119" s="2101"/>
      <c r="M119" s="2101"/>
      <c r="N119" s="2101"/>
      <c r="O119" s="2108"/>
      <c r="P119" s="3184"/>
      <c r="Q119" s="2109"/>
    </row>
    <row r="120" spans="2:20">
      <c r="B120" s="2099"/>
      <c r="C120" s="836"/>
      <c r="D120" s="836"/>
      <c r="E120" s="843" t="s">
        <v>285</v>
      </c>
      <c r="F120" s="2112"/>
      <c r="G120" s="2096"/>
      <c r="H120" s="2248"/>
      <c r="I120" s="2096"/>
      <c r="J120" s="838" t="s">
        <v>1338</v>
      </c>
      <c r="K120" s="838" t="s">
        <v>1339</v>
      </c>
      <c r="L120" s="838" t="s">
        <v>1340</v>
      </c>
      <c r="M120" s="839" t="s">
        <v>259</v>
      </c>
      <c r="N120" s="839" t="s">
        <v>524</v>
      </c>
      <c r="O120" s="841"/>
      <c r="P120" s="3184"/>
      <c r="Q120" s="2109"/>
    </row>
    <row r="121" spans="2:20">
      <c r="B121" s="2099"/>
      <c r="C121" s="836"/>
      <c r="D121" s="836"/>
      <c r="E121" s="843"/>
      <c r="F121" s="843" t="s">
        <v>525</v>
      </c>
      <c r="G121" s="2096"/>
      <c r="H121" s="2096"/>
      <c r="I121" s="2096"/>
      <c r="J121" s="2318">
        <v>1</v>
      </c>
      <c r="K121" s="3187">
        <v>0.97499999999999998</v>
      </c>
      <c r="L121" s="2318">
        <v>0.95</v>
      </c>
      <c r="M121" s="2110">
        <f>スコア!Q139</f>
        <v>3</v>
      </c>
      <c r="N121" s="2111">
        <f>IF(M121&gt;=5,$L121,IF(M121&gt;=4,$K121,$J121))</f>
        <v>1</v>
      </c>
      <c r="O121" s="841"/>
      <c r="P121" s="3184"/>
      <c r="Q121" s="2109"/>
    </row>
    <row r="122" spans="2:20">
      <c r="B122" s="2099"/>
      <c r="C122" s="836"/>
      <c r="D122" s="2096"/>
      <c r="E122" s="2096"/>
      <c r="F122" s="2096"/>
      <c r="G122" s="2096"/>
      <c r="H122" s="2096"/>
      <c r="I122" s="2096"/>
      <c r="J122" s="2096"/>
      <c r="K122" s="2096"/>
      <c r="L122" s="2096"/>
      <c r="M122" s="2096"/>
      <c r="N122" s="833"/>
      <c r="O122" s="841"/>
      <c r="P122" s="833"/>
      <c r="Q122" s="835"/>
    </row>
    <row r="123" spans="2:20">
      <c r="B123" s="2099"/>
      <c r="C123" s="836"/>
      <c r="D123" s="2096"/>
      <c r="E123" s="2091"/>
      <c r="F123" s="2096"/>
      <c r="G123" s="2131"/>
      <c r="H123" s="2096"/>
      <c r="I123" s="2096"/>
      <c r="J123" s="2096"/>
      <c r="K123" s="2096"/>
      <c r="L123" s="2096"/>
      <c r="M123" s="2096"/>
      <c r="N123" s="2096" t="s">
        <v>1973</v>
      </c>
      <c r="O123" s="2096"/>
      <c r="P123" s="2343" t="s">
        <v>1974</v>
      </c>
      <c r="Q123" s="2223"/>
    </row>
    <row r="124" spans="2:20">
      <c r="B124" s="2099"/>
      <c r="C124" s="836"/>
      <c r="D124" s="2091" t="s">
        <v>3975</v>
      </c>
      <c r="E124" s="2091"/>
      <c r="F124" s="2101"/>
      <c r="G124" s="2131"/>
      <c r="H124" s="2096"/>
      <c r="I124" s="2096"/>
      <c r="J124" s="2096"/>
      <c r="K124" s="2096"/>
      <c r="L124" s="2096"/>
      <c r="M124" s="2096"/>
      <c r="N124" s="2317" t="s">
        <v>521</v>
      </c>
      <c r="O124" s="841"/>
      <c r="P124" s="2317" t="s">
        <v>521</v>
      </c>
      <c r="Q124" s="835"/>
    </row>
    <row r="125" spans="2:20">
      <c r="B125" s="2099"/>
      <c r="C125" s="836"/>
      <c r="D125" s="2096"/>
      <c r="E125" s="2101" t="s">
        <v>1925</v>
      </c>
      <c r="F125" s="2101"/>
      <c r="G125" s="2101"/>
      <c r="H125" s="2101"/>
      <c r="I125" s="2101"/>
      <c r="J125" s="2101"/>
      <c r="K125" s="2101" t="s">
        <v>1973</v>
      </c>
      <c r="L125" s="2101" t="s">
        <v>1974</v>
      </c>
      <c r="M125" s="2096"/>
      <c r="N125" s="2225">
        <f>K83+K85+H127*K127/1000</f>
        <v>0</v>
      </c>
      <c r="O125" s="2096"/>
      <c r="P125" s="2225">
        <f>K82+H127*L127/1000</f>
        <v>0</v>
      </c>
      <c r="Q125" s="2228"/>
      <c r="S125" s="2255"/>
    </row>
    <row r="126" spans="2:20">
      <c r="B126" s="2099"/>
      <c r="C126" s="836"/>
      <c r="D126" s="2096"/>
      <c r="E126" s="2101"/>
      <c r="F126" s="2100"/>
      <c r="G126" s="2100" t="s">
        <v>4062</v>
      </c>
      <c r="H126" s="2225">
        <f>メイン!E64-H127</f>
        <v>300</v>
      </c>
      <c r="I126" s="3188" t="s">
        <v>4063</v>
      </c>
      <c r="J126" s="2101"/>
      <c r="K126" s="3189">
        <f>K83+K85</f>
        <v>0</v>
      </c>
      <c r="L126" s="3189">
        <f>K82</f>
        <v>0</v>
      </c>
      <c r="M126" s="2322" t="s">
        <v>521</v>
      </c>
      <c r="N126" s="2227"/>
      <c r="O126" s="2096"/>
      <c r="P126" s="2227"/>
      <c r="Q126" s="2228"/>
    </row>
    <row r="127" spans="2:20">
      <c r="B127" s="2099"/>
      <c r="C127" s="836"/>
      <c r="D127" s="2096"/>
      <c r="E127" s="2101"/>
      <c r="F127" s="2096"/>
      <c r="G127" s="2100" t="s">
        <v>4064</v>
      </c>
      <c r="H127" s="2225">
        <f>G70</f>
        <v>0</v>
      </c>
      <c r="I127" s="3188" t="s">
        <v>4063</v>
      </c>
      <c r="J127" s="2101"/>
      <c r="K127" s="3189">
        <f>CO2データ!I235</f>
        <v>1308</v>
      </c>
      <c r="L127" s="3189">
        <f>CO2データ!I236</f>
        <v>1081</v>
      </c>
      <c r="M127" s="3190" t="s">
        <v>2375</v>
      </c>
      <c r="N127" s="2096"/>
      <c r="O127" s="841"/>
      <c r="P127" s="833"/>
      <c r="Q127" s="835"/>
    </row>
    <row r="128" spans="2:20">
      <c r="B128" s="2099"/>
      <c r="C128" s="836"/>
      <c r="D128" s="2096"/>
      <c r="E128" s="2101" t="s">
        <v>671</v>
      </c>
      <c r="F128" s="2096"/>
      <c r="G128" s="2101"/>
      <c r="H128" s="2096"/>
      <c r="I128" s="2096"/>
      <c r="J128" s="2101"/>
      <c r="K128" s="2097"/>
      <c r="L128" s="2098"/>
      <c r="M128" s="2096"/>
      <c r="N128" s="2225" t="str">
        <f>IF(L83=0,"-",L83+M83+L85)</f>
        <v>-</v>
      </c>
      <c r="O128" s="841"/>
      <c r="P128" s="2225">
        <f>L82+M82</f>
        <v>0</v>
      </c>
      <c r="Q128" s="2228"/>
      <c r="S128" s="2255"/>
    </row>
    <row r="129" spans="2:17" ht="14.25" thickBot="1">
      <c r="B129" s="2234"/>
      <c r="C129" s="2235"/>
      <c r="D129" s="2235"/>
      <c r="E129" s="2235"/>
      <c r="F129" s="2235"/>
      <c r="G129" s="2235"/>
      <c r="H129" s="2235"/>
      <c r="I129" s="2235"/>
      <c r="J129" s="2235"/>
      <c r="K129" s="2235"/>
      <c r="L129" s="2235"/>
      <c r="M129" s="2235"/>
      <c r="N129" s="2235"/>
      <c r="O129" s="2235"/>
      <c r="P129" s="2235"/>
      <c r="Q129" s="2236"/>
    </row>
    <row r="130" spans="2:17">
      <c r="H130" s="1368"/>
    </row>
  </sheetData>
  <sheetProtection algorithmName="SHA-512" hashValue="ERzUpT9SkuaChuhJVnNAn4V+IIQztfyGp3n4pjT6hJ2ppPCR1zqrvKQZzUWuoB2LTWQAvQlgBplr2yOVdhDG9Q==" saltValue="drRNmynIn+jjT6VSKTOQrw==" spinCount="100000" sheet="1" objects="1" scenarios="1" selectLockedCells="1"/>
  <mergeCells count="7">
    <mergeCell ref="F87:P87"/>
    <mergeCell ref="F10:P10"/>
    <mergeCell ref="G12:P12"/>
    <mergeCell ref="E30:O30"/>
    <mergeCell ref="D39:O39"/>
    <mergeCell ref="E60:O61"/>
    <mergeCell ref="F62:H62"/>
  </mergeCells>
  <phoneticPr fontId="21"/>
  <conditionalFormatting sqref="H9">
    <cfRule type="expression" dxfId="85" priority="4">
      <formula>$G$16=0</formula>
    </cfRule>
  </conditionalFormatting>
  <conditionalFormatting sqref="H6">
    <cfRule type="expression" dxfId="84" priority="3">
      <formula>$G$15=0</formula>
    </cfRule>
  </conditionalFormatting>
  <conditionalFormatting sqref="H41 J69 J84 H50">
    <cfRule type="expression" dxfId="83" priority="5">
      <formula>$G$32+$G$33=0</formula>
    </cfRule>
  </conditionalFormatting>
  <conditionalFormatting sqref="F62:H62 F64 L64 K82:M83">
    <cfRule type="expression" dxfId="82" priority="6">
      <formula>$G$34=0</formula>
    </cfRule>
  </conditionalFormatting>
  <conditionalFormatting sqref="K85">
    <cfRule type="expression" dxfId="81" priority="7">
      <formula>$K$84=0</formula>
    </cfRule>
    <cfRule type="expression" dxfId="80" priority="8">
      <formula>$G$34=0</formula>
    </cfRule>
  </conditionalFormatting>
  <conditionalFormatting sqref="J85">
    <cfRule type="expression" dxfId="79" priority="9">
      <formula>$J$84=0</formula>
    </cfRule>
    <cfRule type="expression" dxfId="78" priority="10">
      <formula>$G$32+$G$33=0</formula>
    </cfRule>
  </conditionalFormatting>
  <conditionalFormatting sqref="L85">
    <cfRule type="expression" dxfId="77" priority="11">
      <formula>$L$84=0</formula>
    </cfRule>
    <cfRule type="expression" dxfId="76" priority="12">
      <formula>$G$34=0</formula>
    </cfRule>
  </conditionalFormatting>
  <conditionalFormatting sqref="J69">
    <cfRule type="expression" dxfId="75" priority="13">
      <formula>$F$62=$S$59</formula>
    </cfRule>
    <cfRule type="expression" dxfId="74" priority="14">
      <formula>$G$34=0</formula>
    </cfRule>
  </conditionalFormatting>
  <conditionalFormatting sqref="K84">
    <cfRule type="expression" dxfId="73" priority="2">
      <formula>$G$34=0</formula>
    </cfRule>
  </conditionalFormatting>
  <conditionalFormatting sqref="L84">
    <cfRule type="expression" dxfId="72" priority="1">
      <formula>$G$34=0</formula>
    </cfRule>
  </conditionalFormatting>
  <dataValidations count="4">
    <dataValidation type="list" allowBlank="1" showInputMessage="1" showErrorMessage="1" sqref="H9" xr:uid="{00000000-0002-0000-0A00-000000000000}">
      <formula1>$T$6:$T$11</formula1>
    </dataValidation>
    <dataValidation type="list" allowBlank="1" showInputMessage="1" sqref="F62" xr:uid="{00000000-0002-0000-0A00-000001000000}">
      <formula1>$S$59:$S$61</formula1>
    </dataValidation>
    <dataValidation type="list" allowBlank="1" showInputMessage="1" showErrorMessage="1" sqref="L64" xr:uid="{00000000-0002-0000-0A00-000002000000}">
      <formula1>$T$64:$T$66</formula1>
    </dataValidation>
    <dataValidation type="list" allowBlank="1" showInputMessage="1" showErrorMessage="1" sqref="F64" xr:uid="{00000000-0002-0000-0A00-000003000000}">
      <formula1>$S$64:$S$67</formula1>
    </dataValidation>
  </dataValidations>
  <pageMargins left="0.78740157480314965" right="0.78740157480314965" top="0.98425196850393704" bottom="0.98425196850393704" header="0.51181102362204722" footer="0.51181102362204722"/>
  <pageSetup paperSize="9" scale="75" fitToHeight="0" orientation="portrait" r:id="rId1"/>
  <headerFooter alignWithMargins="0">
    <oddHeader>&amp;L&amp;F&amp;R&amp;A</oddHeader>
    <oddFooter>&amp;C&amp;P/&amp;N</oddFooter>
  </headerFooter>
  <rowBreaks count="1" manualBreakCount="1">
    <brk id="89" max="16383"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sheetPr>
  <dimension ref="A1:U345"/>
  <sheetViews>
    <sheetView showGridLines="0" zoomScaleNormal="100" zoomScaleSheetLayoutView="100" workbookViewId="0">
      <selection activeCell="F8" sqref="F8"/>
    </sheetView>
  </sheetViews>
  <sheetFormatPr defaultColWidth="0" defaultRowHeight="13.5" zeroHeight="1"/>
  <cols>
    <col min="1" max="1" width="2.5" customWidth="1"/>
    <col min="2" max="2" width="25.125" hidden="1" customWidth="1"/>
    <col min="3" max="3" width="11" hidden="1" customWidth="1"/>
    <col min="4" max="4" width="5" style="2037" customWidth="1"/>
    <col min="5" max="5" width="1.75" style="2037" customWidth="1"/>
    <col min="6" max="15" width="11.125" style="2037" customWidth="1"/>
    <col min="16" max="16" width="2.125" customWidth="1"/>
    <col min="17" max="17" width="9" customWidth="1"/>
    <col min="18" max="16384" width="9" hidden="1"/>
  </cols>
  <sheetData>
    <row r="1" spans="2:21" ht="15.75">
      <c r="D1" s="885"/>
      <c r="E1" s="1041"/>
      <c r="F1" s="886"/>
      <c r="G1" s="886"/>
      <c r="H1" s="886"/>
      <c r="I1" s="886"/>
      <c r="J1" s="886"/>
      <c r="K1" s="886"/>
      <c r="L1" s="1370" t="s">
        <v>2215</v>
      </c>
      <c r="M1" s="3671" t="str">
        <f>メイン!C11</f>
        <v>○○ビル</v>
      </c>
      <c r="N1" s="3671"/>
      <c r="O1" s="3671"/>
      <c r="R1" t="s">
        <v>1100</v>
      </c>
    </row>
    <row r="2" spans="2:21" ht="5.25" customHeight="1" thickBot="1">
      <c r="D2" s="885"/>
      <c r="E2" s="1041"/>
      <c r="F2" s="1041"/>
      <c r="G2" s="1041"/>
      <c r="H2" s="1041"/>
      <c r="I2" s="1041"/>
      <c r="J2" s="1041"/>
      <c r="K2" s="1041"/>
      <c r="L2" s="1371"/>
      <c r="M2" s="1041"/>
      <c r="N2" s="1041"/>
      <c r="O2" s="1041"/>
    </row>
    <row r="3" spans="2:21" ht="18.75" thickBot="1">
      <c r="D3" s="1372" t="s">
        <v>439</v>
      </c>
      <c r="E3" s="889"/>
      <c r="F3" s="889"/>
      <c r="G3" s="889"/>
      <c r="H3" s="886"/>
      <c r="I3" s="891"/>
      <c r="J3" s="892" t="s">
        <v>2543</v>
      </c>
      <c r="K3" s="893"/>
      <c r="L3" s="1268"/>
      <c r="M3" s="889"/>
      <c r="N3" s="889"/>
      <c r="O3" s="1122" t="str">
        <f>IF(メイン!E39=0,"",メイン!E39)</f>
        <v>実施設計段階</v>
      </c>
      <c r="R3" s="2445" t="s">
        <v>1118</v>
      </c>
      <c r="S3" s="2445" t="s">
        <v>3897</v>
      </c>
      <c r="T3" s="2445" t="s">
        <v>3898</v>
      </c>
      <c r="U3" t="str">
        <f>メイン!I37</f>
        <v>基本設計段階</v>
      </c>
    </row>
    <row r="4" spans="2:21" ht="6" customHeight="1">
      <c r="D4" s="888"/>
      <c r="E4" s="889"/>
      <c r="F4" s="889"/>
      <c r="G4" s="889"/>
      <c r="H4" s="889"/>
      <c r="I4" s="889"/>
      <c r="J4" s="889"/>
      <c r="K4" s="889"/>
      <c r="L4" s="1373"/>
      <c r="M4" s="889"/>
      <c r="N4" s="889"/>
      <c r="O4" s="889"/>
      <c r="T4" s="2445" t="s">
        <v>3899</v>
      </c>
      <c r="U4" t="str">
        <f>メイン!I38</f>
        <v>実施設計段階</v>
      </c>
    </row>
    <row r="5" spans="2:21" ht="13.5" customHeight="1">
      <c r="D5" s="1311">
        <v>1</v>
      </c>
      <c r="E5" s="895" t="s">
        <v>440</v>
      </c>
      <c r="F5" s="895"/>
      <c r="G5" s="895"/>
      <c r="H5" s="896"/>
      <c r="I5" s="896"/>
      <c r="J5" s="896"/>
      <c r="K5" s="896"/>
      <c r="L5" s="1374"/>
      <c r="M5" s="896"/>
      <c r="N5" s="896"/>
      <c r="O5" s="896"/>
      <c r="T5" s="2445"/>
      <c r="U5" t="str">
        <f>メイン!I39</f>
        <v>竣工段階</v>
      </c>
    </row>
    <row r="6" spans="2:21" ht="13.5" customHeight="1">
      <c r="D6" s="1311">
        <v>1.1000000000000001</v>
      </c>
      <c r="E6" s="895" t="s">
        <v>670</v>
      </c>
      <c r="F6" s="2040"/>
      <c r="G6" s="895"/>
      <c r="H6" s="896"/>
      <c r="I6" s="896"/>
      <c r="J6" s="896" t="str">
        <f>IF(OR(F8=0,J7=0),$R$3,"")</f>
        <v/>
      </c>
      <c r="K6" s="896"/>
      <c r="L6" s="1374"/>
      <c r="M6" s="896"/>
      <c r="N6" s="896"/>
      <c r="O6" s="896"/>
      <c r="S6" t="s">
        <v>933</v>
      </c>
    </row>
    <row r="7" spans="2:21" ht="13.5" customHeight="1" thickBot="1">
      <c r="D7" s="1375"/>
      <c r="E7" s="1375"/>
      <c r="F7" s="1045"/>
      <c r="G7" s="904"/>
      <c r="H7" s="905"/>
      <c r="I7" s="906" t="s">
        <v>1121</v>
      </c>
      <c r="J7" s="907">
        <f>重み!M147</f>
        <v>0.4</v>
      </c>
      <c r="K7" s="1046"/>
      <c r="L7" s="1048"/>
      <c r="N7" s="896"/>
      <c r="O7" s="896"/>
      <c r="S7" t="s">
        <v>934</v>
      </c>
    </row>
    <row r="8" spans="2:21" ht="28.5" customHeight="1" thickBot="1">
      <c r="D8" s="888"/>
      <c r="E8" s="1022"/>
      <c r="F8" s="910">
        <v>3</v>
      </c>
      <c r="G8" s="1026" t="s">
        <v>441</v>
      </c>
      <c r="H8" s="915"/>
      <c r="I8" s="915"/>
      <c r="J8" s="915"/>
      <c r="K8" s="915"/>
      <c r="L8" s="1210"/>
      <c r="M8" s="896"/>
      <c r="N8" s="896"/>
      <c r="O8" s="896"/>
    </row>
    <row r="9" spans="2:21" ht="15.75" customHeight="1">
      <c r="B9" s="1">
        <v>1</v>
      </c>
      <c r="C9" s="1">
        <v>1</v>
      </c>
      <c r="D9" s="888"/>
      <c r="E9" s="1022"/>
      <c r="F9" s="917" t="str">
        <f>IF(F8=$S$16,$T$10,IF(ROUNDDOWN(F8,0)=$S$10,$U$10,$T$10))</f>
        <v>　レベル　1</v>
      </c>
      <c r="G9" s="919" t="s">
        <v>657</v>
      </c>
      <c r="H9" s="920"/>
      <c r="I9" s="920"/>
      <c r="J9" s="920"/>
      <c r="K9" s="920"/>
      <c r="L9" s="1376"/>
      <c r="M9" s="896"/>
      <c r="N9" s="896"/>
      <c r="O9" s="896"/>
    </row>
    <row r="10" spans="2:21" ht="15.75" customHeight="1">
      <c r="B10" s="1" t="s">
        <v>185</v>
      </c>
      <c r="C10" s="1">
        <v>2</v>
      </c>
      <c r="D10" s="888"/>
      <c r="E10" s="1022"/>
      <c r="F10" s="922" t="str">
        <f>IF(F8=$S$16,$T$11,IF(ROUNDDOWN(F8,0)=$S$11,$U$11,$T$11))</f>
        <v>　レベル　2</v>
      </c>
      <c r="G10" s="926" t="s">
        <v>1788</v>
      </c>
      <c r="H10" s="927"/>
      <c r="I10" s="927"/>
      <c r="J10" s="927"/>
      <c r="K10" s="927"/>
      <c r="L10" s="1377"/>
      <c r="M10" s="896"/>
      <c r="N10" s="896"/>
      <c r="O10" s="896"/>
      <c r="S10">
        <v>1</v>
      </c>
      <c r="T10" t="s">
        <v>935</v>
      </c>
      <c r="U10" t="s">
        <v>936</v>
      </c>
    </row>
    <row r="11" spans="2:21" ht="15.75" customHeight="1">
      <c r="B11" s="1">
        <v>3</v>
      </c>
      <c r="C11" s="1">
        <v>3</v>
      </c>
      <c r="D11" s="888"/>
      <c r="E11" s="1022"/>
      <c r="F11" s="922" t="str">
        <f>IF(F8=$S$16,$T$12,IF(ROUNDDOWN(F8,0)=$S$12,$U$12,$T$12))</f>
        <v>■レベル　3</v>
      </c>
      <c r="G11" s="926" t="s">
        <v>442</v>
      </c>
      <c r="H11" s="927"/>
      <c r="I11" s="927"/>
      <c r="J11" s="927"/>
      <c r="K11" s="927"/>
      <c r="L11" s="1378"/>
      <c r="M11" s="896"/>
      <c r="N11" s="896"/>
      <c r="O11" s="896"/>
      <c r="S11">
        <v>2</v>
      </c>
      <c r="T11" t="s">
        <v>1101</v>
      </c>
      <c r="U11" t="s">
        <v>1102</v>
      </c>
    </row>
    <row r="12" spans="2:21" ht="15.75" customHeight="1">
      <c r="B12" s="1">
        <v>4</v>
      </c>
      <c r="C12" s="1">
        <v>4</v>
      </c>
      <c r="D12" s="888"/>
      <c r="E12" s="1022"/>
      <c r="F12" s="922" t="str">
        <f>IF(F8=$S$16,$T$13,IF(ROUNDDOWN(F8,0)=$S$13,$U$13,$T$13))</f>
        <v>　レベル　4</v>
      </c>
      <c r="G12" s="926" t="s">
        <v>2987</v>
      </c>
      <c r="H12" s="927"/>
      <c r="I12" s="927"/>
      <c r="J12" s="927"/>
      <c r="K12" s="927"/>
      <c r="L12" s="1378"/>
      <c r="M12" s="896"/>
      <c r="N12" s="896"/>
      <c r="O12" s="896"/>
      <c r="S12">
        <v>3</v>
      </c>
      <c r="T12" t="s">
        <v>1107</v>
      </c>
      <c r="U12" t="s">
        <v>1108</v>
      </c>
    </row>
    <row r="13" spans="2:21" ht="15.75" customHeight="1">
      <c r="B13" s="1" t="s">
        <v>185</v>
      </c>
      <c r="C13" s="1">
        <v>5</v>
      </c>
      <c r="D13" s="888"/>
      <c r="E13" s="1022"/>
      <c r="F13" s="933" t="str">
        <f>IF(F8=$S$16,$T$14,IF(ROUNDDOWN(F8,0)=$S$14,$U$14,$T$14))</f>
        <v>　レベル　5</v>
      </c>
      <c r="G13" s="937" t="s">
        <v>1788</v>
      </c>
      <c r="H13" s="938"/>
      <c r="I13" s="938"/>
      <c r="J13" s="938"/>
      <c r="K13" s="938"/>
      <c r="L13" s="1379"/>
      <c r="M13" s="896"/>
      <c r="N13" s="896"/>
      <c r="O13" s="896"/>
      <c r="S13">
        <v>4</v>
      </c>
      <c r="T13" t="s">
        <v>994</v>
      </c>
      <c r="U13" t="s">
        <v>995</v>
      </c>
    </row>
    <row r="14" spans="2:21" ht="14.25" customHeight="1">
      <c r="B14" s="940">
        <v>0</v>
      </c>
      <c r="C14" s="940">
        <v>0</v>
      </c>
      <c r="D14" s="888"/>
      <c r="E14" s="1022"/>
      <c r="F14" s="1022"/>
      <c r="G14" s="1380"/>
      <c r="H14" s="1381"/>
      <c r="I14" s="1381"/>
      <c r="J14" s="1381"/>
      <c r="K14" s="1381"/>
      <c r="L14" s="1374"/>
      <c r="M14" s="896"/>
      <c r="N14" s="896"/>
      <c r="O14" s="896"/>
      <c r="S14">
        <v>5</v>
      </c>
      <c r="T14" t="s">
        <v>1001</v>
      </c>
      <c r="U14" t="s">
        <v>1002</v>
      </c>
    </row>
    <row r="15" spans="2:21" ht="14.25" customHeight="1">
      <c r="D15" s="1311">
        <v>1.2</v>
      </c>
      <c r="E15" s="895" t="s">
        <v>443</v>
      </c>
      <c r="F15" s="895"/>
      <c r="G15" s="896"/>
      <c r="H15" s="1124"/>
      <c r="I15" s="896"/>
      <c r="J15" s="896"/>
      <c r="K15" s="896"/>
      <c r="L15" s="1382"/>
      <c r="M15" s="896"/>
      <c r="N15" s="896"/>
      <c r="O15" s="896"/>
    </row>
    <row r="16" spans="2:21" ht="14.25" customHeight="1">
      <c r="D16" s="1311"/>
      <c r="E16" s="895"/>
      <c r="F16" s="1044" t="s">
        <v>658</v>
      </c>
      <c r="G16" s="896"/>
      <c r="H16" s="1124"/>
      <c r="I16" s="896"/>
      <c r="J16" s="896" t="str">
        <f>IF(OR(F18=0,J17=0),$R$3,"")</f>
        <v/>
      </c>
      <c r="K16" s="1044" t="s">
        <v>444</v>
      </c>
      <c r="L16" s="1382"/>
      <c r="M16" s="896"/>
      <c r="N16" s="896"/>
      <c r="O16" s="896" t="str">
        <f>IF(OR(K18=0,O17=0),$R$3,"")</f>
        <v/>
      </c>
      <c r="S16">
        <v>0</v>
      </c>
      <c r="T16" t="s">
        <v>937</v>
      </c>
      <c r="U16" t="s">
        <v>937</v>
      </c>
    </row>
    <row r="17" spans="2:15" ht="14.25" customHeight="1" thickBot="1">
      <c r="B17" t="s">
        <v>938</v>
      </c>
      <c r="C17" t="s">
        <v>939</v>
      </c>
      <c r="D17" s="888"/>
      <c r="E17" s="1022"/>
      <c r="F17" s="903"/>
      <c r="G17" s="904"/>
      <c r="H17" s="905"/>
      <c r="I17" s="906" t="s">
        <v>1121</v>
      </c>
      <c r="J17" s="909">
        <f>重み!M149</f>
        <v>0.7</v>
      </c>
      <c r="K17" s="903"/>
      <c r="L17" s="904"/>
      <c r="M17" s="905"/>
      <c r="N17" s="906" t="s">
        <v>1121</v>
      </c>
      <c r="O17" s="909">
        <f>重み!M150</f>
        <v>0.3</v>
      </c>
    </row>
    <row r="18" spans="2:15" ht="28.5" customHeight="1" thickBot="1">
      <c r="B18" s="1190" t="s">
        <v>445</v>
      </c>
      <c r="C18" s="1190"/>
      <c r="D18" s="888"/>
      <c r="E18" s="1022"/>
      <c r="F18" s="910">
        <v>3</v>
      </c>
      <c r="G18" s="914" t="s">
        <v>390</v>
      </c>
      <c r="H18" s="915"/>
      <c r="I18" s="915"/>
      <c r="J18" s="1383"/>
      <c r="K18" s="910">
        <v>3</v>
      </c>
      <c r="L18" s="1026" t="s">
        <v>2048</v>
      </c>
      <c r="M18" s="915"/>
      <c r="N18" s="915"/>
      <c r="O18" s="916"/>
    </row>
    <row r="19" spans="2:15" ht="18" customHeight="1">
      <c r="B19" s="1" t="s">
        <v>185</v>
      </c>
      <c r="C19" s="1" t="s">
        <v>185</v>
      </c>
      <c r="D19" s="888"/>
      <c r="E19" s="1022"/>
      <c r="F19" s="917" t="str">
        <f>IF(F18=$S$16,$T$10,IF(ROUNDDOWN(F18,0)=$S$10,$U$10,$T$10))</f>
        <v>　レベル　1</v>
      </c>
      <c r="G19" s="920" t="s">
        <v>1788</v>
      </c>
      <c r="H19" s="920"/>
      <c r="I19" s="920"/>
      <c r="J19" s="921"/>
      <c r="K19" s="917" t="str">
        <f>IF(K18=$S$16,$T$10,IF(ROUNDDOWN(K18,0)=$S$10,$U$10,$T$10))</f>
        <v>　レベル　1</v>
      </c>
      <c r="L19" s="2281" t="s">
        <v>1788</v>
      </c>
      <c r="M19" s="920"/>
      <c r="N19" s="920"/>
      <c r="O19" s="921"/>
    </row>
    <row r="20" spans="2:15" ht="18" customHeight="1">
      <c r="B20" s="1" t="s">
        <v>185</v>
      </c>
      <c r="C20" s="1" t="s">
        <v>185</v>
      </c>
      <c r="D20" s="888"/>
      <c r="E20" s="1022"/>
      <c r="F20" s="922" t="str">
        <f>IF(F18=$S$16,$T$11,IF(ROUNDDOWN(F18,0)=$S$11,$U$11,$T$11))</f>
        <v>　レベル　2</v>
      </c>
      <c r="G20" s="926" t="s">
        <v>1788</v>
      </c>
      <c r="H20" s="927"/>
      <c r="I20" s="927"/>
      <c r="J20" s="928"/>
      <c r="K20" s="922" t="str">
        <f>IF(K18=$S$16,$T$11,IF(ROUNDDOWN(K18,0)=$S$11,$U$11,$T$11))</f>
        <v>　レベル　2</v>
      </c>
      <c r="L20" s="2282" t="s">
        <v>1788</v>
      </c>
      <c r="M20" s="927"/>
      <c r="N20" s="927"/>
      <c r="O20" s="928"/>
    </row>
    <row r="21" spans="2:15" ht="18" customHeight="1">
      <c r="B21" s="1">
        <v>3</v>
      </c>
      <c r="C21" s="1">
        <v>3</v>
      </c>
      <c r="D21" s="888"/>
      <c r="E21" s="1022"/>
      <c r="F21" s="922" t="str">
        <f>IF(F18=$S$16,$T$12,IF(ROUNDDOWN(F18,0)=$S$12,$U$12,$T$12))</f>
        <v>■レベル　3</v>
      </c>
      <c r="G21" s="926" t="s">
        <v>659</v>
      </c>
      <c r="H21" s="927"/>
      <c r="I21" s="927"/>
      <c r="J21" s="928"/>
      <c r="K21" s="922" t="str">
        <f>IF(K18=$S$16,$T$12,IF(ROUNDDOWN(K18,0)=$S$12,$U$12,$T$12))</f>
        <v>■レベル　3</v>
      </c>
      <c r="L21" s="926" t="s">
        <v>1450</v>
      </c>
      <c r="M21" s="927"/>
      <c r="N21" s="927"/>
      <c r="O21" s="928"/>
    </row>
    <row r="22" spans="2:15" ht="18" customHeight="1">
      <c r="B22" s="1">
        <v>4</v>
      </c>
      <c r="C22" s="1">
        <v>4</v>
      </c>
      <c r="D22" s="888"/>
      <c r="E22" s="1022"/>
      <c r="F22" s="922" t="str">
        <f>IF(F18=$S$16,$T$13,IF(ROUNDDOWN(F18,0)=$S$13,$U$13,$T$13))</f>
        <v>　レベル　4</v>
      </c>
      <c r="G22" s="926" t="s">
        <v>660</v>
      </c>
      <c r="H22" s="927"/>
      <c r="I22" s="927"/>
      <c r="J22" s="928"/>
      <c r="K22" s="922" t="str">
        <f>IF(K18=$S$16,$T$13,IF(ROUNDDOWN(K18,0)=$S$13,$U$13,$T$13))</f>
        <v>　レベル　4</v>
      </c>
      <c r="L22" s="926" t="s">
        <v>1451</v>
      </c>
      <c r="M22" s="927"/>
      <c r="N22" s="927"/>
      <c r="O22" s="928"/>
    </row>
    <row r="23" spans="2:15" ht="18" customHeight="1">
      <c r="B23" s="1">
        <v>5</v>
      </c>
      <c r="C23" s="1">
        <v>5</v>
      </c>
      <c r="D23" s="888"/>
      <c r="E23" s="1022"/>
      <c r="F23" s="933" t="str">
        <f>IF(F18=$S$16,$T$14,IF(ROUNDDOWN(F18,0)=$S$14,$U$14,$T$14))</f>
        <v>　レベル　5</v>
      </c>
      <c r="G23" s="937" t="s">
        <v>661</v>
      </c>
      <c r="H23" s="938"/>
      <c r="I23" s="938"/>
      <c r="J23" s="939"/>
      <c r="K23" s="933" t="str">
        <f>IF(K18=$S$16,$T$14,IF(ROUNDDOWN(K18,0)=$S$14,$U$14,$T$14))</f>
        <v>　レベル　5</v>
      </c>
      <c r="L23" s="937" t="s">
        <v>1452</v>
      </c>
      <c r="M23" s="938"/>
      <c r="N23" s="938"/>
      <c r="O23" s="939"/>
    </row>
    <row r="24" spans="2:15" ht="14.25" customHeight="1">
      <c r="B24" s="940">
        <v>0</v>
      </c>
      <c r="C24" s="940">
        <v>0</v>
      </c>
      <c r="D24" s="888"/>
      <c r="E24" s="1022"/>
      <c r="F24" s="1022"/>
      <c r="G24" s="1380" t="s">
        <v>1766</v>
      </c>
      <c r="H24" s="1384" t="s">
        <v>1767</v>
      </c>
      <c r="I24" s="1384"/>
      <c r="J24" s="1022"/>
      <c r="K24" s="1022"/>
      <c r="L24" s="1385"/>
      <c r="M24" s="1022"/>
      <c r="N24" s="1022"/>
      <c r="O24" s="1022"/>
    </row>
    <row r="25" spans="2:15" ht="27.75" customHeight="1">
      <c r="D25" s="888"/>
      <c r="E25" s="1022"/>
      <c r="F25" s="886"/>
      <c r="G25" s="1386"/>
      <c r="H25" s="1387" t="s">
        <v>1768</v>
      </c>
      <c r="I25" s="1386"/>
      <c r="J25" s="1381"/>
      <c r="K25" s="886"/>
      <c r="L25" s="1387"/>
      <c r="M25" s="1381"/>
      <c r="N25" s="1381"/>
      <c r="O25" s="1381"/>
    </row>
    <row r="26" spans="2:15" ht="14.25" customHeight="1">
      <c r="D26" s="1311">
        <v>2</v>
      </c>
      <c r="E26" s="895" t="s">
        <v>1054</v>
      </c>
      <c r="F26" s="896"/>
      <c r="G26" s="896"/>
      <c r="H26" s="896"/>
      <c r="I26" s="896"/>
      <c r="J26" s="896"/>
      <c r="K26" s="896"/>
      <c r="L26" s="1374"/>
      <c r="M26" s="896"/>
      <c r="N26" s="896"/>
      <c r="O26" s="896"/>
    </row>
    <row r="27" spans="2:15" ht="14.25" customHeight="1">
      <c r="D27" s="1388">
        <v>2.1</v>
      </c>
      <c r="E27" s="1123" t="s">
        <v>1055</v>
      </c>
      <c r="F27" s="896"/>
      <c r="G27" s="896"/>
      <c r="H27" s="896"/>
      <c r="I27" s="896"/>
      <c r="J27" s="896" t="str">
        <f>IF(OR(F29=0,J28=0),$R$3,"")</f>
        <v/>
      </c>
      <c r="K27" s="896"/>
      <c r="L27" s="1374"/>
      <c r="M27" s="896"/>
      <c r="N27" s="896"/>
      <c r="O27" s="896"/>
    </row>
    <row r="28" spans="2:15" ht="14.25" customHeight="1" thickBot="1">
      <c r="C28" t="s">
        <v>1096</v>
      </c>
      <c r="D28" s="1375"/>
      <c r="E28" s="1375"/>
      <c r="F28" s="1045"/>
      <c r="G28" s="904"/>
      <c r="H28" s="905"/>
      <c r="I28" s="906" t="s">
        <v>1121</v>
      </c>
      <c r="J28" s="907">
        <f>重み!M152</f>
        <v>0.1</v>
      </c>
      <c r="K28" s="905"/>
      <c r="L28" s="1046"/>
      <c r="M28" s="1046"/>
      <c r="N28" s="906"/>
      <c r="O28" s="909"/>
    </row>
    <row r="29" spans="2:15" ht="24" customHeight="1" thickBot="1">
      <c r="C29" s="1190">
        <v>0</v>
      </c>
      <c r="D29" s="888"/>
      <c r="E29" s="898"/>
      <c r="F29" s="2081">
        <f>IF(C29=1,M29,IF(G37=$S3,IF(G38=$S3,5,0),ROUND(IF(H47=0,2,IF(H47&gt;=5,5,IF(H47&gt;=3,4,IF(H47&gt;=1,3)))),0)))</f>
        <v>3</v>
      </c>
      <c r="G29" s="1026" t="s">
        <v>662</v>
      </c>
      <c r="H29" s="916"/>
      <c r="I29" s="1026"/>
      <c r="J29" s="1031"/>
      <c r="K29" s="1026" t="s">
        <v>1092</v>
      </c>
      <c r="L29" s="916"/>
      <c r="M29" s="2073">
        <v>0</v>
      </c>
      <c r="N29" s="1116" t="s">
        <v>1769</v>
      </c>
      <c r="O29" s="1389"/>
    </row>
    <row r="30" spans="2:15" ht="18.75" customHeight="1">
      <c r="B30" s="1362"/>
      <c r="C30" s="1" t="s">
        <v>2357</v>
      </c>
      <c r="D30" s="888"/>
      <c r="E30" s="898"/>
      <c r="F30" s="917" t="str">
        <f>IF(F29=$S$16,$T$10,IF(ROUNDDOWN(F29,0)=$S$10,$U$10,$T$10))</f>
        <v>　レベル　1</v>
      </c>
      <c r="G30" s="3678" t="s">
        <v>1788</v>
      </c>
      <c r="H30" s="4058"/>
      <c r="I30" s="4058"/>
      <c r="J30" s="4059"/>
      <c r="K30" s="3750" t="s">
        <v>3017</v>
      </c>
      <c r="L30" s="3995"/>
      <c r="M30" s="1113" t="str">
        <f>IF(M29=$S$16,$T$10,IF(ROUNDDOWN(M29,0)=$S$10,$U$10,$T$10))</f>
        <v>　レベル　1</v>
      </c>
      <c r="N30" s="1390" t="s">
        <v>663</v>
      </c>
      <c r="O30" s="1391"/>
    </row>
    <row r="31" spans="2:15" ht="39.75" customHeight="1">
      <c r="B31" s="1362"/>
      <c r="C31" s="1" t="s">
        <v>940</v>
      </c>
      <c r="D31" s="888"/>
      <c r="E31" s="898"/>
      <c r="F31" s="922" t="str">
        <f>IF(F29=$S$16,$T$11,IF(ROUNDDOWN(F29,0)=$S$11,$U$11,$T$11))</f>
        <v>　レベル　2</v>
      </c>
      <c r="G31" s="3700" t="s">
        <v>2988</v>
      </c>
      <c r="H31" s="4060"/>
      <c r="I31" s="4060"/>
      <c r="J31" s="3973"/>
      <c r="K31" s="3996"/>
      <c r="L31" s="3997"/>
      <c r="M31" s="1114" t="str">
        <f>IF(M29=$S$16,$T$11,IF(ROUNDDOWN(M29,0)=$S$11,$U$11,$T$11))</f>
        <v>　レベル　2</v>
      </c>
      <c r="N31" s="1392" t="s">
        <v>663</v>
      </c>
      <c r="O31" s="1393"/>
    </row>
    <row r="32" spans="2:15" ht="39.75" customHeight="1">
      <c r="B32" s="1362"/>
      <c r="C32" s="1">
        <v>3</v>
      </c>
      <c r="D32" s="888"/>
      <c r="E32" s="898"/>
      <c r="F32" s="922" t="str">
        <f>IF(F29=$S$16,$T$12,IF(ROUNDDOWN(F29,0)=$S$12,$U$12,$T$12))</f>
        <v>■レベル　3</v>
      </c>
      <c r="G32" s="3700" t="s">
        <v>2989</v>
      </c>
      <c r="H32" s="4060"/>
      <c r="I32" s="4060"/>
      <c r="J32" s="3973"/>
      <c r="K32" s="3996"/>
      <c r="L32" s="3997"/>
      <c r="M32" s="1114" t="str">
        <f>IF(M29=$S$16,$T$12,IF(ROUNDDOWN(M29,0)=$S$12,$U$12,$T$12))</f>
        <v>　レベル　3</v>
      </c>
      <c r="N32" s="3745" t="s">
        <v>446</v>
      </c>
      <c r="O32" s="4030"/>
    </row>
    <row r="33" spans="2:15" ht="44.25" customHeight="1">
      <c r="B33" s="1362"/>
      <c r="C33" s="1" t="s">
        <v>941</v>
      </c>
      <c r="D33" s="888"/>
      <c r="E33" s="898"/>
      <c r="F33" s="922" t="str">
        <f>IF(F29=$S$16,$T$13,IF(ROUNDDOWN(F29,0)=$S$13,$U$13,$T$13))</f>
        <v>　レベル　4</v>
      </c>
      <c r="G33" s="3700" t="s">
        <v>2990</v>
      </c>
      <c r="H33" s="4060"/>
      <c r="I33" s="4060"/>
      <c r="J33" s="3973"/>
      <c r="K33" s="3996"/>
      <c r="L33" s="3997"/>
      <c r="M33" s="1114" t="str">
        <f>IF(M29=$S$16,$T$13,IF(ROUNDDOWN(M29,0)=$S$13,$U$13,$T$13))</f>
        <v>　レベル　4</v>
      </c>
      <c r="N33" s="1392" t="s">
        <v>664</v>
      </c>
      <c r="O33" s="1393"/>
    </row>
    <row r="34" spans="2:15" ht="62.25" customHeight="1">
      <c r="B34" s="1362"/>
      <c r="C34" s="1">
        <v>5</v>
      </c>
      <c r="D34" s="888"/>
      <c r="E34" s="898"/>
      <c r="F34" s="933" t="str">
        <f>IF(F29=$S$16,$T$14,IF(ROUNDDOWN(F29,0)=$S$14,$U$14,$T$14))</f>
        <v>　レベル　5</v>
      </c>
      <c r="G34" s="3701" t="s">
        <v>3018</v>
      </c>
      <c r="H34" s="4061"/>
      <c r="I34" s="4061"/>
      <c r="J34" s="4062"/>
      <c r="K34" s="3998"/>
      <c r="L34" s="3999"/>
      <c r="M34" s="1115" t="str">
        <f>IF(M29=$S$16,$T$14,IF(ROUNDDOWN(M29,0)=$S$14,$U$14,$T$14))</f>
        <v>　レベル　5</v>
      </c>
      <c r="N34" s="3748" t="s">
        <v>2991</v>
      </c>
      <c r="O34" s="4031"/>
    </row>
    <row r="35" spans="2:15">
      <c r="B35" s="2080"/>
      <c r="C35" s="940">
        <v>0</v>
      </c>
      <c r="D35" s="1394"/>
      <c r="E35" s="546"/>
      <c r="F35" s="894"/>
      <c r="G35" s="1278" t="s">
        <v>2030</v>
      </c>
      <c r="H35" s="546"/>
      <c r="I35" s="546"/>
      <c r="J35" s="546"/>
      <c r="K35" s="546"/>
      <c r="L35" s="1373"/>
      <c r="M35" s="546"/>
      <c r="N35" s="546"/>
      <c r="O35" s="546"/>
    </row>
    <row r="36" spans="2:15" ht="16.5" thickBot="1">
      <c r="D36" s="888"/>
      <c r="E36" s="546"/>
      <c r="F36" s="1265"/>
      <c r="G36" s="1280" t="s">
        <v>187</v>
      </c>
      <c r="H36" s="3888" t="s">
        <v>1434</v>
      </c>
      <c r="I36" s="3889"/>
      <c r="J36" s="3890"/>
      <c r="K36" s="1395" t="s">
        <v>1430</v>
      </c>
      <c r="L36" s="1396"/>
      <c r="M36" s="1397"/>
      <c r="N36" s="1397"/>
      <c r="O36" s="1175" t="s">
        <v>1435</v>
      </c>
    </row>
    <row r="37" spans="2:15" ht="15.75">
      <c r="D37" s="888"/>
      <c r="E37" s="546"/>
      <c r="F37" s="1265"/>
      <c r="G37" s="2609"/>
      <c r="H37" s="1161" t="s">
        <v>3019</v>
      </c>
      <c r="I37" s="1162"/>
      <c r="J37" s="1162"/>
      <c r="K37" s="1162"/>
      <c r="L37" s="1162"/>
      <c r="M37" s="1162"/>
      <c r="N37" s="1162"/>
      <c r="O37" s="1163"/>
    </row>
    <row r="38" spans="2:15" s="2521" customFormat="1" ht="18" customHeight="1" thickBot="1">
      <c r="B38" s="2522"/>
      <c r="C38" s="2522"/>
      <c r="D38" s="2514"/>
      <c r="E38" s="2513"/>
      <c r="G38" s="2605"/>
      <c r="H38" s="2606" t="s">
        <v>2979</v>
      </c>
      <c r="I38" s="2606"/>
      <c r="J38" s="2606"/>
      <c r="K38" s="2607"/>
      <c r="L38" s="2607"/>
      <c r="M38" s="2607"/>
      <c r="N38" s="2607"/>
      <c r="O38" s="2608"/>
    </row>
    <row r="39" spans="2:15" ht="15.75">
      <c r="B39">
        <v>0</v>
      </c>
      <c r="C39">
        <v>0</v>
      </c>
      <c r="D39" s="888"/>
      <c r="E39" s="546"/>
      <c r="F39" s="1265"/>
      <c r="G39" s="4052">
        <v>1</v>
      </c>
      <c r="H39" s="3810" t="s">
        <v>3900</v>
      </c>
      <c r="I39" s="4055"/>
      <c r="J39" s="4056"/>
      <c r="K39" s="1150" t="s">
        <v>447</v>
      </c>
      <c r="L39" s="1398"/>
      <c r="M39" s="1227"/>
      <c r="N39" s="1227"/>
      <c r="O39" s="2041">
        <v>1</v>
      </c>
    </row>
    <row r="40" spans="2:15" ht="15.75">
      <c r="B40">
        <v>1</v>
      </c>
      <c r="C40">
        <v>1</v>
      </c>
      <c r="D40" s="888"/>
      <c r="E40" s="546"/>
      <c r="F40" s="1265"/>
      <c r="G40" s="4053"/>
      <c r="H40" s="3905"/>
      <c r="I40" s="3897"/>
      <c r="J40" s="3898"/>
      <c r="K40" s="1153" t="s">
        <v>665</v>
      </c>
      <c r="L40" s="2042"/>
      <c r="M40" s="2043"/>
      <c r="N40" s="2043"/>
      <c r="O40" s="2044">
        <v>3</v>
      </c>
    </row>
    <row r="41" spans="2:15" ht="15.75">
      <c r="B41">
        <v>3</v>
      </c>
      <c r="C41">
        <v>2</v>
      </c>
      <c r="D41" s="888"/>
      <c r="E41" s="546"/>
      <c r="F41" s="1265"/>
      <c r="G41" s="4054"/>
      <c r="H41" s="4057"/>
      <c r="I41" s="3863"/>
      <c r="J41" s="3864"/>
      <c r="K41" s="1152" t="s">
        <v>666</v>
      </c>
      <c r="L41" s="1399"/>
      <c r="M41" s="1285"/>
      <c r="N41" s="1285"/>
      <c r="O41" s="2044">
        <v>4</v>
      </c>
    </row>
    <row r="42" spans="2:15" ht="15.75">
      <c r="B42">
        <v>4</v>
      </c>
      <c r="C42">
        <v>3</v>
      </c>
      <c r="D42" s="888"/>
      <c r="E42" s="546"/>
      <c r="F42" s="1265"/>
      <c r="G42" s="3874">
        <v>0</v>
      </c>
      <c r="H42" s="3903" t="s">
        <v>3901</v>
      </c>
      <c r="I42" s="4067"/>
      <c r="J42" s="4068"/>
      <c r="K42" s="1152" t="s">
        <v>448</v>
      </c>
      <c r="L42" s="1399"/>
      <c r="M42" s="1285"/>
      <c r="N42" s="1285"/>
      <c r="O42" s="2044">
        <v>1</v>
      </c>
    </row>
    <row r="43" spans="2:15" ht="15.75">
      <c r="C43">
        <v>4</v>
      </c>
      <c r="D43" s="888"/>
      <c r="E43" s="546"/>
      <c r="F43" s="1265"/>
      <c r="G43" s="3876"/>
      <c r="H43" s="4069"/>
      <c r="I43" s="4070"/>
      <c r="J43" s="4071"/>
      <c r="K43" s="1153" t="s">
        <v>667</v>
      </c>
      <c r="L43" s="2042"/>
      <c r="M43" s="2043"/>
      <c r="N43" s="2043"/>
      <c r="O43" s="2044">
        <v>3</v>
      </c>
    </row>
    <row r="44" spans="2:15" ht="15.75">
      <c r="C44">
        <v>5</v>
      </c>
      <c r="D44" s="888"/>
      <c r="E44" s="546"/>
      <c r="F44" s="1265"/>
      <c r="G44" s="3875"/>
      <c r="H44" s="4072"/>
      <c r="I44" s="4073"/>
      <c r="J44" s="4074"/>
      <c r="K44" s="1292" t="s">
        <v>668</v>
      </c>
      <c r="L44" s="1400"/>
      <c r="M44" s="1288"/>
      <c r="N44" s="1288"/>
      <c r="O44" s="2045">
        <v>4</v>
      </c>
    </row>
    <row r="45" spans="2:15" ht="30.75" customHeight="1">
      <c r="C45">
        <v>6</v>
      </c>
      <c r="D45" s="888"/>
      <c r="E45" s="546"/>
      <c r="F45" s="1265"/>
      <c r="G45" s="4063">
        <v>0</v>
      </c>
      <c r="H45" s="3903" t="s">
        <v>669</v>
      </c>
      <c r="I45" s="3872"/>
      <c r="J45" s="3873"/>
      <c r="K45" s="3754" t="s">
        <v>2992</v>
      </c>
      <c r="L45" s="3839"/>
      <c r="M45" s="3839"/>
      <c r="N45" s="3840"/>
      <c r="O45" s="2046">
        <v>1</v>
      </c>
    </row>
    <row r="46" spans="2:15" ht="23.25" thickBot="1">
      <c r="C46">
        <v>7</v>
      </c>
      <c r="D46" s="888"/>
      <c r="E46" s="1265"/>
      <c r="F46" s="1266"/>
      <c r="G46" s="4064"/>
      <c r="H46" s="3823"/>
      <c r="I46" s="4065"/>
      <c r="J46" s="4066"/>
      <c r="K46" s="1156" t="s">
        <v>449</v>
      </c>
      <c r="L46" s="2047"/>
      <c r="M46" s="2048"/>
      <c r="N46" s="2048"/>
      <c r="O46" s="2082" t="s">
        <v>1460</v>
      </c>
    </row>
    <row r="47" spans="2:15" ht="15.75">
      <c r="C47">
        <v>8</v>
      </c>
      <c r="D47" s="888"/>
      <c r="E47" s="1265"/>
      <c r="F47" s="1266"/>
      <c r="G47" s="1170" t="s">
        <v>1454</v>
      </c>
      <c r="H47" s="3787">
        <f>IF(G37=$R3,0,SUM(G39:G46))</f>
        <v>1</v>
      </c>
      <c r="I47" s="3787"/>
      <c r="J47" s="3787"/>
      <c r="K47" s="1172"/>
      <c r="L47" s="1401"/>
      <c r="M47" s="1172"/>
      <c r="N47" s="1173"/>
      <c r="O47" s="1182"/>
    </row>
    <row r="48" spans="2:15" s="2521" customFormat="1" ht="18" customHeight="1">
      <c r="B48" s="2522">
        <v>3</v>
      </c>
      <c r="C48">
        <v>9</v>
      </c>
      <c r="D48" s="2598"/>
      <c r="E48" s="2514"/>
      <c r="F48" s="2513"/>
      <c r="G48" s="2598" t="s">
        <v>2980</v>
      </c>
      <c r="H48" s="2513"/>
      <c r="I48" s="2513"/>
      <c r="J48" s="2513"/>
      <c r="K48" s="2513"/>
      <c r="L48" s="2513"/>
      <c r="M48" s="2513"/>
      <c r="N48" s="2513"/>
      <c r="O48" s="2513"/>
    </row>
    <row r="49" spans="2:15" s="2521" customFormat="1" ht="18" customHeight="1" thickBot="1">
      <c r="B49" s="2522">
        <v>4</v>
      </c>
      <c r="C49" s="2522"/>
      <c r="D49" s="2598"/>
      <c r="E49" s="2514"/>
      <c r="F49" s="2513"/>
      <c r="G49" s="2610" t="s">
        <v>2981</v>
      </c>
      <c r="H49" s="2611"/>
      <c r="I49" s="2611"/>
      <c r="J49" s="2611"/>
      <c r="K49" s="2611"/>
      <c r="L49" s="2611"/>
      <c r="M49" s="2611"/>
      <c r="N49" s="2611"/>
      <c r="O49" s="2612"/>
    </row>
    <row r="50" spans="2:15" s="2521" customFormat="1" ht="18" customHeight="1" thickBot="1">
      <c r="B50" s="2522">
        <v>5</v>
      </c>
      <c r="C50" s="2522"/>
      <c r="D50" s="2598"/>
      <c r="E50" s="2514"/>
      <c r="F50" s="2513"/>
      <c r="G50" s="2520" t="s">
        <v>2195</v>
      </c>
      <c r="H50" s="3736" t="s">
        <v>2982</v>
      </c>
      <c r="I50" s="3736"/>
      <c r="J50" s="3736"/>
      <c r="K50" s="3736"/>
      <c r="L50" s="3736"/>
      <c r="M50" s="3736"/>
      <c r="N50" s="3736"/>
      <c r="O50" s="3737"/>
    </row>
    <row r="51" spans="2:15" ht="6.75" customHeight="1">
      <c r="D51" s="1311"/>
      <c r="E51" s="895"/>
      <c r="F51" s="896"/>
      <c r="G51" s="896"/>
      <c r="H51" s="896"/>
      <c r="I51" s="896"/>
      <c r="J51" s="896"/>
      <c r="K51" s="896"/>
      <c r="L51" s="1374"/>
      <c r="M51" s="896"/>
      <c r="N51" s="896"/>
      <c r="O51" s="896"/>
    </row>
    <row r="52" spans="2:15" ht="15.75">
      <c r="D52" s="1311"/>
      <c r="E52" s="895"/>
      <c r="F52" s="896"/>
      <c r="G52" s="896"/>
      <c r="H52" s="896"/>
      <c r="I52" s="896"/>
      <c r="J52" s="896"/>
      <c r="K52" s="896"/>
      <c r="L52" s="1374"/>
      <c r="M52" s="896"/>
      <c r="N52" s="896"/>
      <c r="O52" s="896"/>
    </row>
    <row r="53" spans="2:15" ht="14.25" customHeight="1">
      <c r="D53" s="1311">
        <v>2.2000000000000002</v>
      </c>
      <c r="E53" s="895" t="s">
        <v>450</v>
      </c>
      <c r="F53" s="895"/>
      <c r="G53" s="1402"/>
      <c r="H53" s="1403"/>
      <c r="I53" s="1403"/>
      <c r="J53" s="1404" t="str">
        <f>IF(OR(F55=0,J54=0),$R$3,"")</f>
        <v/>
      </c>
      <c r="K53" s="1404"/>
      <c r="L53" s="1405"/>
      <c r="M53" s="892"/>
      <c r="N53" s="892"/>
      <c r="O53" s="892"/>
    </row>
    <row r="54" spans="2:15" ht="14.25" customHeight="1" thickBot="1">
      <c r="D54" s="1375"/>
      <c r="E54" s="1375"/>
      <c r="F54" s="1045"/>
      <c r="G54" s="904"/>
      <c r="H54" s="905"/>
      <c r="I54" s="906" t="s">
        <v>1121</v>
      </c>
      <c r="J54" s="907">
        <f>重み!M153</f>
        <v>0.2</v>
      </c>
      <c r="K54" s="1046"/>
      <c r="L54" s="1046"/>
      <c r="M54" s="1046"/>
      <c r="N54" s="1046"/>
      <c r="O54" s="916"/>
    </row>
    <row r="55" spans="2:15" ht="21.75" customHeight="1" thickBot="1">
      <c r="D55" s="888"/>
      <c r="E55" s="1041"/>
      <c r="F55" s="910">
        <v>3</v>
      </c>
      <c r="G55" s="914" t="s">
        <v>390</v>
      </c>
      <c r="H55" s="915"/>
      <c r="I55" s="915"/>
      <c r="J55" s="915"/>
      <c r="K55" s="915"/>
      <c r="L55" s="1244"/>
      <c r="M55" s="915"/>
      <c r="N55" s="915"/>
      <c r="O55" s="916"/>
    </row>
    <row r="56" spans="2:15" ht="15.75">
      <c r="B56" s="1" t="s">
        <v>185</v>
      </c>
      <c r="C56" s="1">
        <v>1</v>
      </c>
      <c r="D56" s="888"/>
      <c r="E56" s="1041"/>
      <c r="F56" s="917" t="str">
        <f>IF(F55=$S$16,$T$10,IF(ROUNDDOWN(F55,0)=$S$10,$U$10,$T$10))</f>
        <v>　レベル　1</v>
      </c>
      <c r="G56" s="919" t="s">
        <v>1788</v>
      </c>
      <c r="H56" s="920"/>
      <c r="I56" s="920"/>
      <c r="J56" s="920"/>
      <c r="K56" s="920"/>
      <c r="L56" s="1245"/>
      <c r="M56" s="920"/>
      <c r="N56" s="920"/>
      <c r="O56" s="921"/>
    </row>
    <row r="57" spans="2:15" ht="15.75">
      <c r="B57" s="1" t="s">
        <v>185</v>
      </c>
      <c r="C57" s="1">
        <v>2</v>
      </c>
      <c r="D57" s="888"/>
      <c r="E57" s="1041"/>
      <c r="F57" s="922" t="str">
        <f>IF(F55=$S$16,$T$11,IF(ROUNDDOWN(F55,0)=$S$11,$U$11,$T$11))</f>
        <v>　レベル　2</v>
      </c>
      <c r="G57" s="926" t="s">
        <v>1788</v>
      </c>
      <c r="H57" s="927"/>
      <c r="I57" s="927"/>
      <c r="J57" s="927"/>
      <c r="K57" s="927"/>
      <c r="L57" s="1246"/>
      <c r="M57" s="927"/>
      <c r="N57" s="927"/>
      <c r="O57" s="928"/>
    </row>
    <row r="58" spans="2:15" ht="15.75">
      <c r="B58" s="1">
        <v>3</v>
      </c>
      <c r="C58" s="1">
        <v>3</v>
      </c>
      <c r="D58" s="888"/>
      <c r="E58" s="1041"/>
      <c r="F58" s="922" t="str">
        <f>IF(F55=$S$16,$T$12,IF(ROUNDDOWN(F55,0)=$S$12,$U$12,$T$12))</f>
        <v>■レベル　3</v>
      </c>
      <c r="G58" s="926" t="s">
        <v>48</v>
      </c>
      <c r="H58" s="927"/>
      <c r="I58" s="927"/>
      <c r="J58" s="927"/>
      <c r="K58" s="927"/>
      <c r="L58" s="1246"/>
      <c r="M58" s="927"/>
      <c r="N58" s="927"/>
      <c r="O58" s="928"/>
    </row>
    <row r="59" spans="2:15" ht="15.75">
      <c r="B59" s="1" t="s">
        <v>185</v>
      </c>
      <c r="C59" s="1">
        <v>4</v>
      </c>
      <c r="D59" s="888"/>
      <c r="E59" s="1041"/>
      <c r="F59" s="922" t="str">
        <f>IF(F55=$S$16,$T$13,IF(ROUNDDOWN(F55,0)=$S$13,$U$13,$T$13))</f>
        <v>　レベル　4</v>
      </c>
      <c r="G59" s="926" t="s">
        <v>1788</v>
      </c>
      <c r="H59" s="927"/>
      <c r="I59" s="927"/>
      <c r="J59" s="927"/>
      <c r="K59" s="927"/>
      <c r="L59" s="1246"/>
      <c r="M59" s="927"/>
      <c r="N59" s="927"/>
      <c r="O59" s="928"/>
    </row>
    <row r="60" spans="2:15" ht="15.75">
      <c r="B60" s="1">
        <v>5</v>
      </c>
      <c r="C60" s="1">
        <v>5</v>
      </c>
      <c r="D60" s="888"/>
      <c r="E60" s="1041"/>
      <c r="F60" s="933" t="str">
        <f>IF(F55=$S$16,$T$14,IF(ROUNDDOWN(F55,0)=$S$14,$U$14,$T$14))</f>
        <v>　レベル　5</v>
      </c>
      <c r="G60" s="937" t="s">
        <v>451</v>
      </c>
      <c r="H60" s="938"/>
      <c r="I60" s="938"/>
      <c r="J60" s="938"/>
      <c r="K60" s="938"/>
      <c r="L60" s="1247"/>
      <c r="M60" s="938"/>
      <c r="N60" s="938"/>
      <c r="O60" s="939"/>
    </row>
    <row r="61" spans="2:15" ht="13.5" customHeight="1">
      <c r="B61" s="940">
        <v>0</v>
      </c>
      <c r="C61" s="940">
        <v>0</v>
      </c>
      <c r="D61" s="1311"/>
      <c r="E61" s="895"/>
      <c r="F61" s="896"/>
      <c r="G61" s="896"/>
      <c r="H61" s="896"/>
      <c r="I61" s="896"/>
      <c r="J61" s="896"/>
      <c r="K61" s="896"/>
      <c r="L61" s="1374"/>
      <c r="M61" s="896"/>
      <c r="N61" s="896"/>
      <c r="O61" s="896"/>
    </row>
    <row r="62" spans="2:15" ht="14.25" customHeight="1">
      <c r="D62" s="1311">
        <v>2.2999999999999998</v>
      </c>
      <c r="E62" s="895" t="s">
        <v>1057</v>
      </c>
      <c r="F62" s="896"/>
      <c r="G62" s="1124"/>
      <c r="H62" s="896"/>
      <c r="I62" s="896"/>
      <c r="J62" s="896" t="str">
        <f>IF(OR(F64=0,J63=0),$R$3,"")</f>
        <v/>
      </c>
      <c r="K62" s="896"/>
      <c r="L62" s="1382"/>
      <c r="M62" s="896"/>
      <c r="N62" s="896"/>
    </row>
    <row r="63" spans="2:15" ht="14.25" customHeight="1" thickBot="1">
      <c r="D63" s="888"/>
      <c r="E63" s="1022"/>
      <c r="F63" s="1045"/>
      <c r="G63" s="904"/>
      <c r="H63" s="905"/>
      <c r="I63" s="906" t="s">
        <v>1121</v>
      </c>
      <c r="J63" s="907">
        <f>重み!M154</f>
        <v>0.2</v>
      </c>
      <c r="K63" s="1046"/>
      <c r="L63" s="1046"/>
      <c r="M63" s="1046"/>
      <c r="N63" s="1046"/>
      <c r="O63" s="916"/>
    </row>
    <row r="64" spans="2:15" ht="24" customHeight="1" thickBot="1">
      <c r="D64" s="888"/>
      <c r="E64" s="1022"/>
      <c r="F64" s="910">
        <v>3</v>
      </c>
      <c r="G64" s="914" t="s">
        <v>390</v>
      </c>
      <c r="H64" s="915"/>
      <c r="I64" s="915"/>
      <c r="J64" s="915"/>
      <c r="K64" s="915"/>
      <c r="L64" s="1244"/>
      <c r="M64" s="915"/>
      <c r="N64" s="1026" t="s">
        <v>1092</v>
      </c>
      <c r="O64" s="916"/>
    </row>
    <row r="65" spans="2:15" ht="15.75">
      <c r="B65" s="1" t="s">
        <v>2355</v>
      </c>
      <c r="C65" s="1">
        <v>1</v>
      </c>
      <c r="D65" s="888"/>
      <c r="E65" s="1022"/>
      <c r="F65" s="917" t="str">
        <f>IF(F64=$S$16,$T$10,IF(ROUNDDOWN(F64,0)=$S$10,$U$10,$T$10))</f>
        <v>　レベル　1</v>
      </c>
      <c r="G65" s="919" t="s">
        <v>1788</v>
      </c>
      <c r="H65" s="920"/>
      <c r="I65" s="920"/>
      <c r="J65" s="920"/>
      <c r="K65" s="920"/>
      <c r="L65" s="1245"/>
      <c r="M65" s="920"/>
      <c r="N65" s="3750" t="s">
        <v>2993</v>
      </c>
      <c r="O65" s="3995"/>
    </row>
    <row r="66" spans="2:15" ht="15.75">
      <c r="B66" s="1" t="s">
        <v>185</v>
      </c>
      <c r="C66" s="1">
        <v>2</v>
      </c>
      <c r="D66" s="888"/>
      <c r="E66" s="1022"/>
      <c r="F66" s="922" t="str">
        <f>IF(F64=$S$16,$T$11,IF(ROUNDDOWN(F64,0)=$S$11,$U$11,$T$11))</f>
        <v>　レベル　2</v>
      </c>
      <c r="G66" s="926" t="s">
        <v>1788</v>
      </c>
      <c r="H66" s="927"/>
      <c r="I66" s="927"/>
      <c r="J66" s="927"/>
      <c r="K66" s="927"/>
      <c r="L66" s="1246"/>
      <c r="M66" s="927"/>
      <c r="N66" s="3996"/>
      <c r="O66" s="3997"/>
    </row>
    <row r="67" spans="2:15" ht="15.75">
      <c r="B67" s="1">
        <v>3</v>
      </c>
      <c r="C67" s="1">
        <v>3</v>
      </c>
      <c r="D67" s="888"/>
      <c r="E67" s="1022"/>
      <c r="F67" s="922" t="str">
        <f>IF(F64=$S$16,$T$12,IF(ROUNDDOWN(F64,0)=$S$12,$U$12,$T$12))</f>
        <v>■レベル　3</v>
      </c>
      <c r="G67" s="926" t="s">
        <v>49</v>
      </c>
      <c r="H67" s="927"/>
      <c r="I67" s="927"/>
      <c r="J67" s="927"/>
      <c r="K67" s="927"/>
      <c r="L67" s="1246"/>
      <c r="M67" s="927"/>
      <c r="N67" s="3996"/>
      <c r="O67" s="3997"/>
    </row>
    <row r="68" spans="2:15" ht="15.75">
      <c r="B68" s="1" t="s">
        <v>940</v>
      </c>
      <c r="C68" s="1">
        <v>4</v>
      </c>
      <c r="D68" s="888"/>
      <c r="E68" s="1022"/>
      <c r="F68" s="922" t="str">
        <f>IF(F64=$S$16,$T$13,IF(ROUNDDOWN(F64,0)=$S$13,$U$13,$T$13))</f>
        <v>　レベル　4</v>
      </c>
      <c r="G68" s="926" t="s">
        <v>1788</v>
      </c>
      <c r="H68" s="927"/>
      <c r="I68" s="927"/>
      <c r="J68" s="927"/>
      <c r="K68" s="927"/>
      <c r="L68" s="1246"/>
      <c r="M68" s="927"/>
      <c r="N68" s="3996"/>
      <c r="O68" s="3997"/>
    </row>
    <row r="69" spans="2:15" ht="15.75">
      <c r="B69" s="1">
        <v>5</v>
      </c>
      <c r="C69" s="1">
        <v>5</v>
      </c>
      <c r="D69" s="888"/>
      <c r="E69" s="1022"/>
      <c r="F69" s="933" t="str">
        <f>IF(F64=$S$16,$T$14,IF(ROUNDDOWN(F64,0)=$S$14,$U$14,$T$14))</f>
        <v>　レベル　5</v>
      </c>
      <c r="G69" s="937" t="s">
        <v>3020</v>
      </c>
      <c r="H69" s="938"/>
      <c r="I69" s="938"/>
      <c r="J69" s="938"/>
      <c r="K69" s="938"/>
      <c r="L69" s="1247"/>
      <c r="M69" s="938"/>
      <c r="N69" s="3998"/>
      <c r="O69" s="3999"/>
    </row>
    <row r="70" spans="2:15" ht="15" customHeight="1">
      <c r="B70" s="940">
        <v>0</v>
      </c>
      <c r="C70" s="940">
        <v>0</v>
      </c>
      <c r="G70" s="1406" t="s">
        <v>2994</v>
      </c>
      <c r="L70" s="2049"/>
    </row>
    <row r="71" spans="2:15" ht="21" customHeight="1">
      <c r="G71" s="1366" t="s">
        <v>3021</v>
      </c>
      <c r="H71" s="2050"/>
      <c r="I71" s="2050"/>
      <c r="J71" s="2050"/>
      <c r="K71" s="4032"/>
      <c r="L71" s="4033"/>
      <c r="M71" s="4033"/>
      <c r="N71" s="4033"/>
      <c r="O71" s="4034"/>
    </row>
    <row r="72" spans="2:15" ht="8.25" customHeight="1">
      <c r="D72" s="888"/>
      <c r="E72" s="889"/>
      <c r="F72" s="889"/>
      <c r="G72" s="1406"/>
      <c r="L72" s="2049"/>
    </row>
    <row r="73" spans="2:15" ht="15" customHeight="1">
      <c r="D73" s="888"/>
      <c r="E73" s="889"/>
      <c r="F73" s="889"/>
      <c r="G73" s="1365" t="s">
        <v>452</v>
      </c>
      <c r="H73" s="140"/>
      <c r="I73" s="140"/>
      <c r="J73" s="140"/>
      <c r="K73" s="140"/>
      <c r="L73" s="2226"/>
      <c r="M73" s="140"/>
    </row>
    <row r="74" spans="2:15" ht="13.5" customHeight="1" thickBot="1">
      <c r="D74" s="888"/>
      <c r="E74" s="889"/>
      <c r="F74" s="889"/>
      <c r="G74" s="1407" t="s">
        <v>453</v>
      </c>
      <c r="H74" s="1408"/>
      <c r="I74" s="1408"/>
      <c r="J74" s="1408"/>
      <c r="K74" s="1408"/>
      <c r="L74" s="1409"/>
      <c r="M74" s="1409"/>
    </row>
    <row r="75" spans="2:15" ht="13.5" customHeight="1" thickTop="1">
      <c r="D75" s="888"/>
      <c r="E75" s="889"/>
      <c r="F75" s="889"/>
      <c r="G75" s="1410" t="s">
        <v>454</v>
      </c>
      <c r="H75" s="1411"/>
      <c r="I75" s="1411"/>
      <c r="J75" s="1412"/>
      <c r="K75" s="1411"/>
      <c r="L75" s="1413"/>
      <c r="M75" s="1414"/>
    </row>
    <row r="76" spans="2:15" ht="13.5" customHeight="1">
      <c r="D76" s="888"/>
      <c r="E76" s="889"/>
      <c r="F76" s="889"/>
      <c r="G76" s="1415"/>
      <c r="H76" s="1188" t="s">
        <v>455</v>
      </c>
      <c r="I76" s="1416"/>
      <c r="J76" s="1417"/>
      <c r="K76" s="1188" t="s">
        <v>76</v>
      </c>
      <c r="L76" s="1188"/>
      <c r="M76" s="1418"/>
    </row>
    <row r="77" spans="2:15" ht="13.5" customHeight="1">
      <c r="D77" s="888"/>
      <c r="E77" s="889"/>
      <c r="F77" s="889"/>
      <c r="G77" s="1415"/>
      <c r="H77" s="1188" t="s">
        <v>290</v>
      </c>
      <c r="I77" s="1416"/>
      <c r="J77" s="1417"/>
      <c r="K77" s="1417" t="s">
        <v>77</v>
      </c>
      <c r="L77" s="1188"/>
      <c r="M77" s="1418"/>
    </row>
    <row r="78" spans="2:15" ht="13.5" customHeight="1">
      <c r="D78" s="888"/>
      <c r="E78" s="889"/>
      <c r="F78" s="889"/>
      <c r="G78" s="1415"/>
      <c r="H78" s="1188" t="s">
        <v>291</v>
      </c>
      <c r="I78" s="1416"/>
      <c r="J78" s="1417"/>
      <c r="K78" s="1417" t="s">
        <v>1664</v>
      </c>
      <c r="L78" s="1188"/>
      <c r="M78" s="1418"/>
    </row>
    <row r="79" spans="2:15" ht="13.5" customHeight="1">
      <c r="D79" s="888"/>
      <c r="E79" s="889"/>
      <c r="F79" s="889"/>
      <c r="G79" s="1415"/>
      <c r="H79" s="1188" t="s">
        <v>292</v>
      </c>
      <c r="I79" s="1416"/>
      <c r="J79" s="1417"/>
      <c r="K79" s="1417"/>
      <c r="L79" s="1419"/>
      <c r="M79" s="1420"/>
    </row>
    <row r="80" spans="2:15" ht="13.5" customHeight="1">
      <c r="D80" s="888"/>
      <c r="E80" s="889"/>
      <c r="F80" s="889"/>
      <c r="G80" s="1421"/>
      <c r="H80" s="1188" t="s">
        <v>78</v>
      </c>
      <c r="I80" s="1422"/>
      <c r="J80" s="1423"/>
      <c r="K80" s="1424"/>
      <c r="L80" s="1425"/>
      <c r="M80" s="1420"/>
    </row>
    <row r="81" spans="2:15" ht="13.5" customHeight="1">
      <c r="D81" s="888"/>
      <c r="E81" s="889"/>
      <c r="F81" s="889"/>
      <c r="G81" s="1426" t="s">
        <v>293</v>
      </c>
      <c r="H81" s="1188"/>
      <c r="I81" s="1422"/>
      <c r="J81" s="1423"/>
      <c r="K81" s="1424"/>
      <c r="L81" s="1425"/>
      <c r="M81" s="1420"/>
    </row>
    <row r="82" spans="2:15" ht="13.5" customHeight="1">
      <c r="D82" s="888"/>
      <c r="E82" s="889"/>
      <c r="F82" s="889"/>
      <c r="G82" s="1427" t="s">
        <v>2995</v>
      </c>
      <c r="H82" s="1428"/>
      <c r="I82" s="2130"/>
      <c r="J82" s="1429"/>
      <c r="K82" s="1428"/>
      <c r="L82" s="1430"/>
      <c r="M82" s="1431"/>
    </row>
    <row r="83" spans="2:15" ht="13.5" customHeight="1">
      <c r="D83" s="888"/>
      <c r="E83" s="889"/>
      <c r="F83" s="889"/>
      <c r="G83" s="1432" t="s">
        <v>2996</v>
      </c>
      <c r="H83" s="140"/>
      <c r="I83" s="140"/>
      <c r="J83" s="140"/>
      <c r="K83" s="140"/>
      <c r="L83" s="140"/>
      <c r="M83" s="140"/>
      <c r="N83" s="1433"/>
      <c r="O83" s="1433"/>
    </row>
    <row r="84" spans="2:15" ht="9.75" customHeight="1">
      <c r="D84" s="888"/>
      <c r="E84" s="889"/>
      <c r="F84" s="889"/>
      <c r="G84" s="1432" t="s">
        <v>79</v>
      </c>
      <c r="H84" s="140"/>
      <c r="I84" s="140"/>
      <c r="J84" s="140"/>
      <c r="K84" s="140"/>
      <c r="L84" s="140"/>
      <c r="M84" s="140"/>
      <c r="N84" s="1434"/>
      <c r="O84" s="1434"/>
    </row>
    <row r="85" spans="2:15" ht="9.75" customHeight="1">
      <c r="D85" s="888"/>
      <c r="E85" s="889"/>
      <c r="F85" s="889"/>
      <c r="G85" s="1432" t="s">
        <v>80</v>
      </c>
      <c r="H85" s="140"/>
      <c r="I85" s="140"/>
      <c r="J85" s="140"/>
      <c r="K85" s="140"/>
      <c r="L85" s="140"/>
      <c r="M85" s="140"/>
      <c r="N85" s="1433"/>
      <c r="O85" s="1433"/>
    </row>
    <row r="86" spans="2:15" s="2445" customFormat="1" ht="9.75" customHeight="1">
      <c r="D86" s="888"/>
      <c r="E86" s="889"/>
      <c r="F86" s="889"/>
      <c r="G86" s="1432"/>
      <c r="H86" s="140"/>
      <c r="I86" s="140"/>
      <c r="J86" s="140"/>
      <c r="K86" s="140"/>
      <c r="L86" s="140"/>
      <c r="M86" s="140"/>
      <c r="N86" s="1433"/>
      <c r="O86" s="1433"/>
    </row>
    <row r="87" spans="2:15" s="2445" customFormat="1" ht="9.75" customHeight="1">
      <c r="D87" s="888"/>
      <c r="E87" s="889"/>
      <c r="F87" s="889"/>
      <c r="G87" s="1432"/>
      <c r="H87" s="140"/>
      <c r="I87" s="140"/>
      <c r="J87" s="140"/>
      <c r="K87" s="140"/>
      <c r="L87" s="140"/>
      <c r="M87" s="140"/>
      <c r="N87" s="1433"/>
      <c r="O87" s="1433"/>
    </row>
    <row r="88" spans="2:15" s="2521" customFormat="1" ht="18" customHeight="1">
      <c r="B88" s="2522"/>
      <c r="C88" s="2522"/>
      <c r="D88" s="2598"/>
      <c r="E88" s="2514"/>
      <c r="F88" s="2513"/>
      <c r="G88" s="2598" t="s">
        <v>2980</v>
      </c>
      <c r="H88" s="2513"/>
      <c r="I88" s="2513"/>
      <c r="J88" s="2513"/>
      <c r="K88" s="2513"/>
      <c r="L88" s="2513"/>
      <c r="M88" s="2513"/>
      <c r="N88" s="2513"/>
      <c r="O88" s="2513"/>
    </row>
    <row r="89" spans="2:15" s="2521" customFormat="1" ht="18" customHeight="1" thickBot="1">
      <c r="B89" s="2522"/>
      <c r="C89" s="2522"/>
      <c r="D89" s="2598"/>
      <c r="E89" s="2514"/>
      <c r="F89" s="2513"/>
      <c r="G89" s="2610" t="s">
        <v>2983</v>
      </c>
      <c r="H89" s="2611"/>
      <c r="I89" s="2611"/>
      <c r="J89" s="2611"/>
      <c r="K89" s="2611"/>
      <c r="L89" s="2611"/>
      <c r="M89" s="2611"/>
      <c r="N89" s="2611"/>
      <c r="O89" s="2612"/>
    </row>
    <row r="90" spans="2:15" s="2521" customFormat="1" ht="18" customHeight="1" thickBot="1">
      <c r="B90" s="2522"/>
      <c r="C90" s="2522"/>
      <c r="D90" s="2598"/>
      <c r="E90" s="2514"/>
      <c r="F90" s="2513"/>
      <c r="G90" s="2900"/>
      <c r="H90" s="3735" t="s">
        <v>3300</v>
      </c>
      <c r="I90" s="3736"/>
      <c r="J90" s="3736"/>
      <c r="K90" s="3736"/>
      <c r="L90" s="3736"/>
      <c r="M90" s="3736"/>
      <c r="N90" s="3736"/>
      <c r="O90" s="3737"/>
    </row>
    <row r="91" spans="2:15" ht="15" customHeight="1">
      <c r="G91" s="1435"/>
      <c r="L91" s="2049"/>
    </row>
    <row r="92" spans="2:15" ht="14.25" customHeight="1">
      <c r="D92" s="1311">
        <v>2.4</v>
      </c>
      <c r="E92" s="895" t="s">
        <v>50</v>
      </c>
      <c r="F92" s="888"/>
      <c r="G92" s="888"/>
      <c r="H92" s="888"/>
      <c r="I92" s="888"/>
      <c r="J92" s="888" t="str">
        <f>IF(OR(F94=0,J93=0),$R$3,"")</f>
        <v/>
      </c>
      <c r="K92" s="888"/>
      <c r="L92" s="1436"/>
      <c r="M92" s="888"/>
      <c r="N92" s="888"/>
    </row>
    <row r="93" spans="2:15" ht="14.25" customHeight="1" thickBot="1">
      <c r="D93" s="888"/>
      <c r="E93" s="888"/>
      <c r="F93" s="1045"/>
      <c r="G93" s="904"/>
      <c r="H93" s="905"/>
      <c r="I93" s="906" t="s">
        <v>1121</v>
      </c>
      <c r="J93" s="907">
        <f>重み!M155</f>
        <v>0.2</v>
      </c>
      <c r="K93" s="1046"/>
      <c r="L93" s="1046"/>
      <c r="M93" s="1046"/>
      <c r="N93" s="1046"/>
      <c r="O93" s="916"/>
    </row>
    <row r="94" spans="2:15" ht="22.5" customHeight="1" thickBot="1">
      <c r="D94" s="888"/>
      <c r="E94" s="888"/>
      <c r="F94" s="910">
        <v>3</v>
      </c>
      <c r="G94" s="914" t="s">
        <v>390</v>
      </c>
      <c r="H94" s="915"/>
      <c r="I94" s="915"/>
      <c r="J94" s="915"/>
      <c r="K94" s="915"/>
      <c r="L94" s="1244"/>
      <c r="M94" s="915"/>
      <c r="N94" s="1026" t="s">
        <v>1092</v>
      </c>
      <c r="O94" s="916"/>
    </row>
    <row r="95" spans="2:15" ht="17.25" customHeight="1">
      <c r="B95" s="1">
        <v>1</v>
      </c>
      <c r="C95" s="1">
        <v>1</v>
      </c>
      <c r="D95" s="888"/>
      <c r="E95" s="888"/>
      <c r="F95" s="917" t="str">
        <f>IF(F94=$S$16,$T$10,IF(ROUNDDOWN(F94,0)=$S$10,$U$10,$T$10))</f>
        <v>　レベル　1</v>
      </c>
      <c r="G95" s="919" t="s">
        <v>6</v>
      </c>
      <c r="H95" s="920"/>
      <c r="I95" s="920"/>
      <c r="J95" s="920"/>
      <c r="K95" s="920"/>
      <c r="L95" s="1245"/>
      <c r="M95" s="920"/>
      <c r="N95" s="3750" t="s">
        <v>2997</v>
      </c>
      <c r="O95" s="3995"/>
    </row>
    <row r="96" spans="2:15" ht="17.25" customHeight="1">
      <c r="B96" s="1" t="s">
        <v>942</v>
      </c>
      <c r="C96" s="1">
        <v>2</v>
      </c>
      <c r="D96" s="888"/>
      <c r="E96" s="888"/>
      <c r="F96" s="922" t="str">
        <f>IF(F94=$S$16,$T$11,IF(ROUNDDOWN(F94,0)=$S$11,$U$11,$T$11))</f>
        <v>　レベル　2</v>
      </c>
      <c r="G96" s="926" t="s">
        <v>1788</v>
      </c>
      <c r="H96" s="927"/>
      <c r="I96" s="927"/>
      <c r="J96" s="927"/>
      <c r="K96" s="927"/>
      <c r="L96" s="1246"/>
      <c r="M96" s="927"/>
      <c r="N96" s="3996"/>
      <c r="O96" s="3997"/>
    </row>
    <row r="97" spans="2:15" ht="17.25" customHeight="1">
      <c r="B97" s="1">
        <v>3</v>
      </c>
      <c r="C97" s="1">
        <v>3</v>
      </c>
      <c r="D97" s="888"/>
      <c r="E97" s="888"/>
      <c r="F97" s="922" t="str">
        <f>IF(F94=$S$16,$T$12,IF(ROUNDDOWN(F94,0)=$S$12,$U$12,$T$12))</f>
        <v>■レベル　3</v>
      </c>
      <c r="G97" s="926" t="s">
        <v>7</v>
      </c>
      <c r="H97" s="927"/>
      <c r="I97" s="927"/>
      <c r="J97" s="927"/>
      <c r="K97" s="927"/>
      <c r="L97" s="1246"/>
      <c r="M97" s="927"/>
      <c r="N97" s="3996"/>
      <c r="O97" s="3997"/>
    </row>
    <row r="98" spans="2:15" ht="17.25" customHeight="1">
      <c r="B98" s="1">
        <v>4</v>
      </c>
      <c r="C98" s="1">
        <v>4</v>
      </c>
      <c r="D98" s="888"/>
      <c r="E98" s="888"/>
      <c r="F98" s="922" t="str">
        <f>IF(F94=$S$16,$T$13,IF(ROUNDDOWN(F94,0)=$S$13,$U$13,$T$13))</f>
        <v>　レベル　4</v>
      </c>
      <c r="G98" s="926" t="s">
        <v>8</v>
      </c>
      <c r="H98" s="927"/>
      <c r="I98" s="927"/>
      <c r="J98" s="927"/>
      <c r="K98" s="927"/>
      <c r="L98" s="1246"/>
      <c r="M98" s="927"/>
      <c r="N98" s="3996"/>
      <c r="O98" s="3997"/>
    </row>
    <row r="99" spans="2:15" ht="17.25" customHeight="1">
      <c r="B99" s="1">
        <v>5</v>
      </c>
      <c r="C99" s="1">
        <v>5</v>
      </c>
      <c r="D99" s="888"/>
      <c r="E99" s="888"/>
      <c r="F99" s="933" t="str">
        <f>IF(F94=$S$16,$T$14,IF(ROUNDDOWN(F94,0)=$S$14,$U$14,$T$14))</f>
        <v>　レベル　5</v>
      </c>
      <c r="G99" s="937" t="s">
        <v>9</v>
      </c>
      <c r="H99" s="938"/>
      <c r="I99" s="938"/>
      <c r="J99" s="938"/>
      <c r="K99" s="938"/>
      <c r="L99" s="1247"/>
      <c r="M99" s="938"/>
      <c r="N99" s="3998"/>
      <c r="O99" s="3999"/>
    </row>
    <row r="100" spans="2:15" ht="14.25" customHeight="1">
      <c r="B100" s="940">
        <v>0</v>
      </c>
      <c r="C100" s="940">
        <v>0</v>
      </c>
      <c r="D100" s="888"/>
      <c r="E100" s="1039"/>
      <c r="G100" s="1406" t="s">
        <v>2994</v>
      </c>
      <c r="L100" s="2049"/>
    </row>
    <row r="101" spans="2:15" s="2521" customFormat="1" ht="18" customHeight="1">
      <c r="B101" s="2511"/>
      <c r="C101" s="2511"/>
      <c r="D101" s="2514"/>
      <c r="E101" s="2522"/>
      <c r="G101" s="2521" t="s">
        <v>2984</v>
      </c>
    </row>
    <row r="102" spans="2:15" ht="21" customHeight="1">
      <c r="G102" s="1366" t="s">
        <v>3021</v>
      </c>
      <c r="H102" s="2050"/>
      <c r="I102" s="2050"/>
      <c r="J102" s="2050"/>
      <c r="K102" s="4032"/>
      <c r="L102" s="4033"/>
      <c r="M102" s="4033"/>
      <c r="N102" s="4033"/>
      <c r="O102" s="4034"/>
    </row>
    <row r="103" spans="2:15" ht="14.25" customHeight="1">
      <c r="D103" s="888"/>
      <c r="E103" s="1039"/>
      <c r="G103" s="1406"/>
      <c r="L103" s="2049"/>
    </row>
    <row r="104" spans="2:15" ht="14.25" customHeight="1">
      <c r="D104" s="888"/>
      <c r="E104" s="889"/>
      <c r="F104" s="889"/>
      <c r="G104" s="1365" t="s">
        <v>452</v>
      </c>
      <c r="H104" s="140"/>
      <c r="I104" s="140"/>
      <c r="J104" s="140"/>
      <c r="K104" s="140"/>
      <c r="L104" s="2226"/>
      <c r="M104" s="140"/>
      <c r="N104" s="140"/>
      <c r="O104" s="140"/>
    </row>
    <row r="105" spans="2:15" ht="13.5" customHeight="1" thickBot="1">
      <c r="D105" s="888"/>
      <c r="E105" s="889"/>
      <c r="F105" s="889"/>
      <c r="G105" s="1437" t="s">
        <v>453</v>
      </c>
      <c r="H105" s="1438"/>
      <c r="I105" s="1438"/>
      <c r="J105" s="1438"/>
      <c r="K105" s="1438"/>
      <c r="L105" s="1438"/>
      <c r="M105" s="1438"/>
      <c r="N105" s="1438"/>
      <c r="O105" s="1439"/>
    </row>
    <row r="106" spans="2:15" ht="13.5" customHeight="1" thickTop="1">
      <c r="D106" s="888"/>
      <c r="E106" s="889"/>
      <c r="F106" s="889"/>
      <c r="G106" s="1034" t="s">
        <v>10</v>
      </c>
      <c r="H106" s="1035"/>
      <c r="I106" s="1035"/>
      <c r="J106" s="1035"/>
      <c r="K106" s="1035"/>
      <c r="L106" s="1035"/>
      <c r="M106" s="1035"/>
      <c r="N106" s="1035"/>
      <c r="O106" s="1440"/>
    </row>
    <row r="107" spans="2:15" ht="13.5" customHeight="1">
      <c r="D107" s="888"/>
      <c r="E107" s="889"/>
      <c r="F107" s="889"/>
      <c r="G107" s="926"/>
      <c r="H107" s="927" t="s">
        <v>11</v>
      </c>
      <c r="I107" s="927"/>
      <c r="J107" s="927"/>
      <c r="K107" s="927"/>
      <c r="L107" s="927" t="s">
        <v>266</v>
      </c>
      <c r="M107" s="927"/>
      <c r="N107" s="927"/>
      <c r="O107" s="928"/>
    </row>
    <row r="108" spans="2:15" ht="13.5" customHeight="1">
      <c r="D108" s="888"/>
      <c r="E108" s="889"/>
      <c r="F108" s="889"/>
      <c r="G108" s="926"/>
      <c r="H108" s="927" t="s">
        <v>12</v>
      </c>
      <c r="I108" s="927"/>
      <c r="J108" s="927"/>
      <c r="K108" s="927"/>
      <c r="L108" s="927" t="s">
        <v>1663</v>
      </c>
      <c r="M108" s="927"/>
      <c r="N108" s="927"/>
      <c r="O108" s="928"/>
    </row>
    <row r="109" spans="2:15" ht="13.5" customHeight="1">
      <c r="D109" s="888"/>
      <c r="E109" s="889"/>
      <c r="F109" s="889"/>
      <c r="G109" s="926"/>
      <c r="H109" s="927" t="s">
        <v>13</v>
      </c>
      <c r="I109" s="927"/>
      <c r="J109" s="927"/>
      <c r="K109" s="927"/>
      <c r="L109" s="927" t="s">
        <v>81</v>
      </c>
      <c r="M109" s="927"/>
      <c r="N109" s="927"/>
      <c r="O109" s="928"/>
    </row>
    <row r="110" spans="2:15" ht="13.5" customHeight="1">
      <c r="D110" s="888"/>
      <c r="E110" s="889"/>
      <c r="F110" s="889"/>
      <c r="G110" s="926"/>
      <c r="H110" s="927" t="s">
        <v>1464</v>
      </c>
      <c r="I110" s="927"/>
      <c r="J110" s="927"/>
      <c r="K110" s="927"/>
      <c r="L110" s="927" t="s">
        <v>1664</v>
      </c>
      <c r="M110" s="927"/>
      <c r="N110" s="927"/>
      <c r="O110" s="928"/>
    </row>
    <row r="111" spans="2:15" ht="13.5" customHeight="1">
      <c r="D111" s="888"/>
      <c r="E111" s="889"/>
      <c r="F111" s="889"/>
      <c r="G111" s="926"/>
      <c r="H111" s="927" t="s">
        <v>1465</v>
      </c>
      <c r="I111" s="927"/>
      <c r="J111" s="927"/>
      <c r="K111" s="927"/>
      <c r="L111" s="927" t="s">
        <v>1199</v>
      </c>
      <c r="M111" s="927"/>
      <c r="N111" s="927"/>
      <c r="O111" s="928"/>
    </row>
    <row r="112" spans="2:15" ht="13.5" customHeight="1">
      <c r="D112" s="888"/>
      <c r="E112" s="889"/>
      <c r="F112" s="889"/>
      <c r="G112" s="926"/>
      <c r="H112" s="927" t="s">
        <v>82</v>
      </c>
      <c r="I112" s="927"/>
      <c r="J112" s="927"/>
      <c r="K112" s="927"/>
      <c r="L112" s="927" t="s">
        <v>83</v>
      </c>
      <c r="M112" s="927"/>
      <c r="N112" s="927"/>
      <c r="O112" s="928"/>
    </row>
    <row r="113" spans="4:15" ht="13.5" customHeight="1">
      <c r="D113" s="888"/>
      <c r="E113" s="889"/>
      <c r="F113" s="889"/>
      <c r="G113" s="926"/>
      <c r="H113" s="927" t="s">
        <v>84</v>
      </c>
      <c r="I113" s="927"/>
      <c r="J113" s="927"/>
      <c r="K113" s="927"/>
      <c r="L113" s="927" t="s">
        <v>85</v>
      </c>
      <c r="M113" s="927"/>
      <c r="N113" s="927"/>
      <c r="O113" s="928"/>
    </row>
    <row r="114" spans="4:15" ht="13.5" customHeight="1">
      <c r="D114" s="888"/>
      <c r="E114" s="889"/>
      <c r="F114" s="889"/>
      <c r="G114" s="926"/>
      <c r="H114" s="2262" t="s">
        <v>1200</v>
      </c>
      <c r="I114" s="927"/>
      <c r="J114" s="927"/>
      <c r="K114" s="927"/>
      <c r="L114" s="927" t="s">
        <v>86</v>
      </c>
      <c r="M114" s="927"/>
      <c r="N114" s="927"/>
      <c r="O114" s="928"/>
    </row>
    <row r="115" spans="4:15" ht="13.5" customHeight="1">
      <c r="D115" s="888"/>
      <c r="E115" s="889"/>
      <c r="F115" s="889"/>
      <c r="G115" s="926"/>
      <c r="H115" s="2262" t="s">
        <v>88</v>
      </c>
      <c r="I115" s="927"/>
      <c r="J115" s="927"/>
      <c r="K115" s="927"/>
      <c r="L115" s="927" t="s">
        <v>87</v>
      </c>
      <c r="M115" s="927"/>
      <c r="N115" s="927"/>
      <c r="O115" s="928"/>
    </row>
    <row r="116" spans="4:15" ht="13.5" customHeight="1">
      <c r="D116" s="888"/>
      <c r="E116" s="889"/>
      <c r="F116" s="889"/>
      <c r="G116" s="926"/>
      <c r="H116" s="2262" t="s">
        <v>89</v>
      </c>
      <c r="I116" s="927"/>
      <c r="J116" s="927"/>
      <c r="K116" s="927"/>
      <c r="L116" s="2262" t="s">
        <v>1201</v>
      </c>
      <c r="M116" s="927"/>
      <c r="N116" s="927"/>
      <c r="O116" s="928"/>
    </row>
    <row r="117" spans="4:15" ht="13.5" hidden="1" customHeight="1">
      <c r="D117" s="888"/>
      <c r="E117" s="889"/>
      <c r="F117" s="889"/>
      <c r="G117" s="926"/>
      <c r="H117" s="927"/>
      <c r="I117" s="927"/>
      <c r="J117" s="927"/>
      <c r="K117" s="927"/>
      <c r="L117" s="927"/>
      <c r="M117" s="927"/>
      <c r="N117" s="927"/>
      <c r="O117" s="928"/>
    </row>
    <row r="118" spans="4:15" ht="13.5" customHeight="1">
      <c r="D118" s="888"/>
      <c r="E118" s="889"/>
      <c r="F118" s="889"/>
      <c r="G118" s="937"/>
      <c r="H118" s="938"/>
      <c r="I118" s="938"/>
      <c r="J118" s="938"/>
      <c r="K118" s="938"/>
      <c r="L118" s="938" t="s">
        <v>90</v>
      </c>
      <c r="M118" s="938"/>
      <c r="N118" s="938"/>
      <c r="O118" s="939"/>
    </row>
    <row r="119" spans="4:15" ht="13.5" customHeight="1">
      <c r="D119" s="888"/>
      <c r="E119" s="889"/>
      <c r="F119" s="889"/>
      <c r="G119" s="1034" t="s">
        <v>91</v>
      </c>
      <c r="H119" s="1035"/>
      <c r="I119" s="1035"/>
      <c r="J119" s="1035"/>
      <c r="K119" s="1035"/>
      <c r="L119" s="1035"/>
      <c r="M119" s="1035"/>
      <c r="N119" s="1035"/>
      <c r="O119" s="1440"/>
    </row>
    <row r="120" spans="4:15" ht="13.5" customHeight="1">
      <c r="D120" s="888"/>
      <c r="E120" s="889"/>
      <c r="F120" s="889"/>
      <c r="G120" s="926"/>
      <c r="H120" s="927" t="s">
        <v>1202</v>
      </c>
      <c r="I120" s="927"/>
      <c r="J120" s="927"/>
      <c r="K120" s="927"/>
      <c r="L120" s="927" t="s">
        <v>1203</v>
      </c>
      <c r="M120" s="927"/>
      <c r="N120" s="927"/>
      <c r="O120" s="928"/>
    </row>
    <row r="121" spans="4:15" ht="13.5" customHeight="1">
      <c r="D121" s="888"/>
      <c r="E121" s="889"/>
      <c r="F121" s="889"/>
      <c r="G121" s="937"/>
      <c r="H121" s="938" t="s">
        <v>1204</v>
      </c>
      <c r="I121" s="938"/>
      <c r="J121" s="938"/>
      <c r="K121" s="938"/>
      <c r="L121" s="938"/>
      <c r="M121" s="938"/>
      <c r="N121" s="938"/>
      <c r="O121" s="939"/>
    </row>
    <row r="122" spans="4:15" ht="13.5" customHeight="1">
      <c r="D122" s="888"/>
      <c r="E122" s="889"/>
      <c r="F122" s="889"/>
      <c r="G122" s="1034" t="s">
        <v>1205</v>
      </c>
      <c r="H122" s="1035"/>
      <c r="I122" s="1035"/>
      <c r="J122" s="1035"/>
      <c r="K122" s="1035"/>
      <c r="L122" s="1035"/>
      <c r="M122" s="1035"/>
      <c r="N122" s="1035"/>
      <c r="O122" s="1440"/>
    </row>
    <row r="123" spans="4:15" ht="13.5" customHeight="1">
      <c r="D123" s="888"/>
      <c r="E123" s="889"/>
      <c r="F123" s="889"/>
      <c r="G123" s="937"/>
      <c r="H123" s="938" t="s">
        <v>92</v>
      </c>
      <c r="I123" s="938"/>
      <c r="J123" s="938"/>
      <c r="K123" s="938"/>
      <c r="L123" s="938"/>
      <c r="M123" s="938"/>
      <c r="N123" s="938"/>
      <c r="O123" s="939"/>
    </row>
    <row r="124" spans="4:15" ht="13.5" customHeight="1">
      <c r="D124" s="888"/>
      <c r="E124" s="889"/>
      <c r="F124" s="889"/>
      <c r="G124" s="1034" t="s">
        <v>2998</v>
      </c>
      <c r="H124" s="1035"/>
      <c r="I124" s="1035"/>
      <c r="J124" s="1035"/>
      <c r="K124" s="1035"/>
      <c r="L124" s="1035"/>
      <c r="M124" s="1035"/>
      <c r="N124" s="1035"/>
      <c r="O124" s="1440"/>
    </row>
    <row r="125" spans="4:15" ht="13.5" customHeight="1">
      <c r="D125" s="888"/>
      <c r="E125" s="889"/>
      <c r="F125" s="889"/>
      <c r="G125" s="926"/>
      <c r="H125" s="927" t="s">
        <v>1206</v>
      </c>
      <c r="I125" s="927"/>
      <c r="J125" s="927"/>
      <c r="K125" s="927"/>
      <c r="L125" s="927" t="s">
        <v>1207</v>
      </c>
      <c r="M125" s="927"/>
      <c r="N125" s="927"/>
      <c r="O125" s="928"/>
    </row>
    <row r="126" spans="4:15" ht="13.5" customHeight="1">
      <c r="D126" s="888"/>
      <c r="E126" s="889"/>
      <c r="F126" s="889"/>
      <c r="G126" s="926"/>
      <c r="H126" s="927" t="s">
        <v>1208</v>
      </c>
      <c r="I126" s="927"/>
      <c r="J126" s="927"/>
      <c r="K126" s="927"/>
      <c r="L126" s="927"/>
      <c r="M126" s="927"/>
      <c r="N126" s="927"/>
      <c r="O126" s="928"/>
    </row>
    <row r="127" spans="4:15" ht="13.5" customHeight="1">
      <c r="D127" s="888"/>
      <c r="E127" s="889"/>
      <c r="F127" s="889"/>
      <c r="G127" s="926"/>
      <c r="H127" s="927" t="s">
        <v>1209</v>
      </c>
      <c r="I127" s="927"/>
      <c r="J127" s="927"/>
      <c r="K127" s="927"/>
      <c r="L127" s="927"/>
      <c r="M127" s="927"/>
      <c r="N127" s="927"/>
      <c r="O127" s="928"/>
    </row>
    <row r="128" spans="4:15" ht="13.5" customHeight="1">
      <c r="D128" s="888"/>
      <c r="E128" s="889"/>
      <c r="F128" s="889"/>
      <c r="G128" s="926"/>
      <c r="H128" s="927" t="s">
        <v>1210</v>
      </c>
      <c r="I128" s="927"/>
      <c r="J128" s="927"/>
      <c r="K128" s="927"/>
      <c r="L128" s="927"/>
      <c r="M128" s="927"/>
      <c r="N128" s="927"/>
      <c r="O128" s="928"/>
    </row>
    <row r="129" spans="4:15" ht="13.5" customHeight="1">
      <c r="D129" s="888"/>
      <c r="E129" s="889"/>
      <c r="F129" s="889"/>
      <c r="G129" s="926"/>
      <c r="H129" s="927" t="s">
        <v>1211</v>
      </c>
      <c r="I129" s="927"/>
      <c r="J129" s="927"/>
      <c r="K129" s="927"/>
      <c r="L129" s="927" t="s">
        <v>1212</v>
      </c>
      <c r="M129" s="927"/>
      <c r="N129" s="927"/>
      <c r="O129" s="928"/>
    </row>
    <row r="130" spans="4:15" ht="13.5" customHeight="1">
      <c r="D130" s="888"/>
      <c r="E130" s="889"/>
      <c r="F130" s="889"/>
      <c r="G130" s="926"/>
      <c r="H130" s="927" t="s">
        <v>93</v>
      </c>
      <c r="I130" s="927"/>
      <c r="J130" s="927"/>
      <c r="K130" s="927"/>
      <c r="L130" s="927" t="s">
        <v>2406</v>
      </c>
      <c r="M130" s="927"/>
      <c r="N130" s="927"/>
      <c r="O130" s="928"/>
    </row>
    <row r="131" spans="4:15" ht="13.5" customHeight="1">
      <c r="D131" s="888"/>
      <c r="E131" s="889"/>
      <c r="F131" s="889"/>
      <c r="G131" s="937"/>
      <c r="H131" s="938" t="s">
        <v>1213</v>
      </c>
      <c r="I131" s="938"/>
      <c r="J131" s="938"/>
      <c r="K131" s="938"/>
      <c r="L131" s="938"/>
      <c r="M131" s="938"/>
      <c r="N131" s="938"/>
      <c r="O131" s="939"/>
    </row>
    <row r="132" spans="4:15" ht="13.5" customHeight="1">
      <c r="D132" s="888"/>
      <c r="E132" s="889"/>
      <c r="F132" s="889"/>
      <c r="G132" s="1034" t="s">
        <v>1214</v>
      </c>
      <c r="H132" s="1035"/>
      <c r="I132" s="1035"/>
      <c r="J132" s="1035"/>
      <c r="K132" s="1035"/>
      <c r="L132" s="1035"/>
      <c r="M132" s="1035"/>
      <c r="N132" s="1035"/>
      <c r="O132" s="1440"/>
    </row>
    <row r="133" spans="4:15" ht="13.5" customHeight="1">
      <c r="D133" s="888"/>
      <c r="E133" s="889"/>
      <c r="F133" s="889"/>
      <c r="G133" s="926"/>
      <c r="H133" s="927" t="s">
        <v>1215</v>
      </c>
      <c r="I133" s="927"/>
      <c r="J133" s="927"/>
      <c r="K133" s="927"/>
      <c r="L133" s="927" t="s">
        <v>1216</v>
      </c>
      <c r="M133" s="927"/>
      <c r="N133" s="927"/>
      <c r="O133" s="928"/>
    </row>
    <row r="134" spans="4:15" ht="13.5" customHeight="1">
      <c r="D134" s="888"/>
      <c r="E134" s="889"/>
      <c r="F134" s="889"/>
      <c r="G134" s="926"/>
      <c r="H134" s="927" t="s">
        <v>1217</v>
      </c>
      <c r="I134" s="927"/>
      <c r="J134" s="927"/>
      <c r="K134" s="927"/>
      <c r="L134" s="927" t="s">
        <v>1218</v>
      </c>
      <c r="M134" s="927"/>
      <c r="N134" s="927"/>
      <c r="O134" s="928"/>
    </row>
    <row r="135" spans="4:15" ht="13.5" customHeight="1">
      <c r="D135" s="888"/>
      <c r="E135" s="889"/>
      <c r="F135" s="889"/>
      <c r="G135" s="926"/>
      <c r="H135" s="927" t="s">
        <v>1219</v>
      </c>
      <c r="I135" s="927"/>
      <c r="J135" s="927"/>
      <c r="K135" s="927"/>
      <c r="L135" s="927" t="s">
        <v>1220</v>
      </c>
      <c r="M135" s="927"/>
      <c r="N135" s="927"/>
      <c r="O135" s="928"/>
    </row>
    <row r="136" spans="4:15" ht="13.5" customHeight="1">
      <c r="D136" s="888"/>
      <c r="E136" s="889"/>
      <c r="F136" s="889"/>
      <c r="G136" s="926"/>
      <c r="H136" s="927" t="s">
        <v>1221</v>
      </c>
      <c r="I136" s="927"/>
      <c r="J136" s="927"/>
      <c r="K136" s="927"/>
      <c r="L136" s="927" t="s">
        <v>1222</v>
      </c>
      <c r="M136" s="927"/>
      <c r="N136" s="927"/>
      <c r="O136" s="928"/>
    </row>
    <row r="137" spans="4:15" ht="13.5" customHeight="1">
      <c r="D137" s="888"/>
      <c r="E137" s="889"/>
      <c r="F137" s="889"/>
      <c r="G137" s="926"/>
      <c r="H137" s="927" t="s">
        <v>1223</v>
      </c>
      <c r="I137" s="927"/>
      <c r="J137" s="927"/>
      <c r="K137" s="927"/>
      <c r="L137" s="927" t="s">
        <v>1224</v>
      </c>
      <c r="M137" s="927"/>
      <c r="N137" s="927"/>
      <c r="O137" s="928"/>
    </row>
    <row r="138" spans="4:15" ht="13.5" customHeight="1">
      <c r="D138" s="888"/>
      <c r="E138" s="889"/>
      <c r="F138" s="889"/>
      <c r="G138" s="1076"/>
      <c r="H138" s="1077" t="s">
        <v>94</v>
      </c>
      <c r="I138" s="1077"/>
      <c r="J138" s="1077"/>
      <c r="K138" s="1077"/>
      <c r="L138" s="927" t="s">
        <v>95</v>
      </c>
      <c r="M138" s="1077"/>
      <c r="N138" s="1077"/>
      <c r="O138" s="1078"/>
    </row>
    <row r="139" spans="4:15" ht="13.5" customHeight="1">
      <c r="D139" s="888"/>
      <c r="E139" s="889"/>
      <c r="F139" s="889"/>
      <c r="G139" s="937"/>
      <c r="H139" s="938"/>
      <c r="I139" s="938"/>
      <c r="J139" s="938"/>
      <c r="K139" s="938"/>
      <c r="L139" s="938" t="s">
        <v>1225</v>
      </c>
      <c r="M139" s="938"/>
      <c r="N139" s="938"/>
      <c r="O139" s="939"/>
    </row>
    <row r="140" spans="4:15" ht="13.5" customHeight="1">
      <c r="D140" s="888"/>
      <c r="E140" s="889"/>
      <c r="F140" s="889"/>
      <c r="G140" s="1034" t="s">
        <v>2999</v>
      </c>
      <c r="H140" s="1035"/>
      <c r="I140" s="1035"/>
      <c r="J140" s="1035"/>
      <c r="K140" s="1035"/>
      <c r="L140" s="1035"/>
      <c r="M140" s="1035"/>
      <c r="N140" s="1035"/>
      <c r="O140" s="1440"/>
    </row>
    <row r="141" spans="4:15" ht="13.5" customHeight="1">
      <c r="D141" s="888"/>
      <c r="E141" s="889"/>
      <c r="F141" s="889"/>
      <c r="G141" s="926"/>
      <c r="H141" s="927" t="s">
        <v>1226</v>
      </c>
      <c r="I141" s="927"/>
      <c r="J141" s="927"/>
      <c r="K141" s="927"/>
      <c r="L141" s="927" t="s">
        <v>1227</v>
      </c>
      <c r="M141" s="927"/>
      <c r="N141" s="927"/>
      <c r="O141" s="928"/>
    </row>
    <row r="142" spans="4:15" ht="13.5" customHeight="1">
      <c r="D142" s="888"/>
      <c r="E142" s="889"/>
      <c r="F142" s="889"/>
      <c r="G142" s="926"/>
      <c r="H142" s="927" t="s">
        <v>1228</v>
      </c>
      <c r="I142" s="927"/>
      <c r="J142" s="927"/>
      <c r="K142" s="927"/>
      <c r="L142" s="927" t="s">
        <v>1229</v>
      </c>
      <c r="M142" s="927"/>
      <c r="N142" s="927"/>
      <c r="O142" s="928"/>
    </row>
    <row r="143" spans="4:15" ht="13.5" customHeight="1">
      <c r="D143" s="888"/>
      <c r="E143" s="889"/>
      <c r="F143" s="889"/>
      <c r="G143" s="937"/>
      <c r="H143" s="938" t="s">
        <v>1230</v>
      </c>
      <c r="I143" s="938"/>
      <c r="J143" s="938"/>
      <c r="K143" s="938"/>
      <c r="L143" s="938"/>
      <c r="M143" s="938"/>
      <c r="N143" s="938"/>
      <c r="O143" s="939"/>
    </row>
    <row r="144" spans="4:15" ht="13.5" customHeight="1">
      <c r="D144" s="888"/>
      <c r="E144" s="889"/>
      <c r="F144" s="889"/>
      <c r="G144" s="1034" t="s">
        <v>1231</v>
      </c>
      <c r="H144" s="1035"/>
      <c r="I144" s="1035"/>
      <c r="J144" s="1035"/>
      <c r="K144" s="1035"/>
      <c r="L144" s="1035"/>
      <c r="M144" s="1035"/>
      <c r="N144" s="1035"/>
      <c r="O144" s="1440"/>
    </row>
    <row r="145" spans="2:15" ht="13.5" customHeight="1">
      <c r="D145" s="888"/>
      <c r="E145" s="889"/>
      <c r="F145" s="889"/>
      <c r="G145" s="926"/>
      <c r="H145" s="927" t="s">
        <v>1232</v>
      </c>
      <c r="I145" s="927"/>
      <c r="J145" s="927"/>
      <c r="K145" s="927"/>
      <c r="L145" s="927" t="s">
        <v>1233</v>
      </c>
      <c r="M145" s="927"/>
      <c r="N145" s="927"/>
      <c r="O145" s="928"/>
    </row>
    <row r="146" spans="2:15" ht="13.5" customHeight="1">
      <c r="D146" s="888"/>
      <c r="E146" s="889"/>
      <c r="F146" s="889"/>
      <c r="G146" s="937"/>
      <c r="H146" s="938" t="s">
        <v>1234</v>
      </c>
      <c r="I146" s="938"/>
      <c r="J146" s="938"/>
      <c r="K146" s="938"/>
      <c r="L146" s="938"/>
      <c r="M146" s="938"/>
      <c r="N146" s="938"/>
      <c r="O146" s="939"/>
    </row>
    <row r="147" spans="2:15" ht="13.5" customHeight="1">
      <c r="D147" s="888"/>
      <c r="E147" s="889"/>
      <c r="F147" s="889"/>
      <c r="G147" s="1432" t="s">
        <v>2996</v>
      </c>
      <c r="H147" s="140"/>
      <c r="I147" s="140"/>
      <c r="J147" s="140"/>
      <c r="K147" s="140"/>
      <c r="L147" s="140"/>
      <c r="M147" s="140"/>
      <c r="N147" s="140"/>
      <c r="O147" s="140"/>
    </row>
    <row r="148" spans="2:15" ht="13.5" customHeight="1">
      <c r="D148" s="888"/>
      <c r="E148" s="889"/>
      <c r="F148" s="889"/>
      <c r="G148" s="1432" t="s">
        <v>96</v>
      </c>
      <c r="H148" s="140"/>
      <c r="I148" s="140"/>
      <c r="J148" s="140"/>
      <c r="K148" s="140"/>
      <c r="L148" s="140"/>
      <c r="M148" s="140"/>
      <c r="N148" s="140"/>
      <c r="O148" s="140"/>
    </row>
    <row r="149" spans="2:15" ht="13.5" customHeight="1">
      <c r="D149" s="888"/>
      <c r="E149" s="889"/>
      <c r="F149" s="889"/>
      <c r="G149" s="1432" t="s">
        <v>80</v>
      </c>
      <c r="H149" s="140"/>
      <c r="I149" s="140"/>
      <c r="J149" s="140"/>
      <c r="K149" s="140"/>
      <c r="L149" s="140"/>
      <c r="M149" s="140"/>
      <c r="N149" s="140"/>
      <c r="O149" s="140"/>
    </row>
    <row r="150" spans="2:15" s="2445" customFormat="1" ht="13.5" customHeight="1">
      <c r="D150" s="888"/>
      <c r="E150" s="889"/>
      <c r="F150" s="889"/>
      <c r="G150" s="1432"/>
      <c r="H150" s="140"/>
      <c r="I150" s="140"/>
      <c r="J150" s="140"/>
      <c r="K150" s="140"/>
      <c r="L150" s="140"/>
      <c r="M150" s="140"/>
      <c r="N150" s="140"/>
      <c r="O150" s="140"/>
    </row>
    <row r="151" spans="2:15" s="2445" customFormat="1" ht="13.5" customHeight="1">
      <c r="D151" s="888"/>
      <c r="E151" s="889"/>
      <c r="F151" s="889"/>
      <c r="G151" s="1432"/>
      <c r="H151" s="140"/>
      <c r="I151" s="140"/>
      <c r="J151" s="140"/>
      <c r="K151" s="140"/>
      <c r="L151" s="140"/>
      <c r="M151" s="140"/>
      <c r="N151" s="140"/>
      <c r="O151" s="140"/>
    </row>
    <row r="152" spans="2:15" s="2445" customFormat="1" ht="13.5" customHeight="1">
      <c r="D152" s="888"/>
      <c r="E152" s="889"/>
      <c r="F152" s="889"/>
      <c r="G152" s="1432"/>
      <c r="H152" s="140"/>
      <c r="I152" s="140"/>
      <c r="J152" s="140"/>
      <c r="K152" s="140"/>
      <c r="L152" s="140"/>
      <c r="M152" s="140"/>
      <c r="N152" s="140"/>
      <c r="O152" s="140"/>
    </row>
    <row r="153" spans="2:15" s="2521" customFormat="1" ht="18" customHeight="1">
      <c r="B153" s="2522"/>
      <c r="C153" s="2522"/>
      <c r="D153" s="2598"/>
      <c r="E153" s="2514"/>
      <c r="F153" s="2513"/>
      <c r="G153" s="2598" t="s">
        <v>2980</v>
      </c>
      <c r="H153" s="2513"/>
      <c r="I153" s="2513"/>
      <c r="J153" s="2513"/>
      <c r="K153" s="2513"/>
      <c r="L153" s="2513"/>
      <c r="M153" s="2513"/>
      <c r="N153" s="2513"/>
      <c r="O153" s="2513"/>
    </row>
    <row r="154" spans="2:15" s="2521" customFormat="1" ht="18" customHeight="1" thickBot="1">
      <c r="B154" s="2522"/>
      <c r="C154" s="2522"/>
      <c r="D154" s="2598"/>
      <c r="E154" s="2514"/>
      <c r="F154" s="2513"/>
      <c r="G154" s="2610" t="s">
        <v>2983</v>
      </c>
      <c r="H154" s="2611"/>
      <c r="I154" s="2611"/>
      <c r="J154" s="2611"/>
      <c r="K154" s="2611"/>
      <c r="L154" s="2611"/>
      <c r="M154" s="2611"/>
      <c r="N154" s="2611"/>
      <c r="O154" s="2612"/>
    </row>
    <row r="155" spans="2:15" s="2521" customFormat="1" ht="18" customHeight="1" thickBot="1">
      <c r="B155" s="2522"/>
      <c r="C155" s="2522"/>
      <c r="D155" s="2598"/>
      <c r="E155" s="2514"/>
      <c r="F155" s="2513"/>
      <c r="G155" s="2900" t="s">
        <v>2195</v>
      </c>
      <c r="H155" s="3736" t="s">
        <v>2985</v>
      </c>
      <c r="I155" s="3736"/>
      <c r="J155" s="3736"/>
      <c r="K155" s="3736"/>
      <c r="L155" s="3736"/>
      <c r="M155" s="3736"/>
      <c r="N155" s="3736"/>
      <c r="O155" s="3737"/>
    </row>
    <row r="156" spans="2:15" ht="14.25" customHeight="1">
      <c r="D156" s="888"/>
      <c r="E156" s="1039"/>
      <c r="L156" s="2049"/>
    </row>
    <row r="157" spans="2:15" ht="23.25" customHeight="1">
      <c r="D157" s="1311">
        <v>2.5</v>
      </c>
      <c r="E157" s="895" t="s">
        <v>1235</v>
      </c>
      <c r="F157" s="895"/>
      <c r="G157" s="1441"/>
      <c r="H157" s="1207"/>
      <c r="I157" s="1207"/>
      <c r="J157" s="1207" t="str">
        <f>IF(OR(F159=0,J158=0),$R$3,"")</f>
        <v/>
      </c>
      <c r="K157" s="1207"/>
      <c r="L157" s="1442"/>
      <c r="M157" s="1442"/>
      <c r="N157" s="1442"/>
      <c r="O157" s="1442"/>
    </row>
    <row r="158" spans="2:15" ht="14.25" customHeight="1" thickBot="1">
      <c r="D158" s="1375"/>
      <c r="E158" s="1375"/>
      <c r="F158" s="1045"/>
      <c r="G158" s="904"/>
      <c r="H158" s="905"/>
      <c r="I158" s="906" t="s">
        <v>1121</v>
      </c>
      <c r="J158" s="907">
        <f>重み!M156</f>
        <v>0.1</v>
      </c>
      <c r="K158" s="1046"/>
      <c r="L158" s="1046"/>
      <c r="M158" s="1046"/>
      <c r="N158" s="1046"/>
      <c r="O158" s="916"/>
    </row>
    <row r="159" spans="2:15" ht="16.5" thickBot="1">
      <c r="B159" s="1190" t="s">
        <v>445</v>
      </c>
      <c r="D159" s="888"/>
      <c r="E159" s="1041"/>
      <c r="F159" s="910">
        <v>3</v>
      </c>
      <c r="G159" s="1026" t="s">
        <v>390</v>
      </c>
      <c r="H159" s="915"/>
      <c r="I159" s="915"/>
      <c r="J159" s="915"/>
      <c r="K159" s="915"/>
      <c r="L159" s="1244"/>
      <c r="M159" s="915"/>
      <c r="N159" s="1026"/>
      <c r="O159" s="916"/>
    </row>
    <row r="160" spans="2:15" ht="18" customHeight="1">
      <c r="B160" s="1">
        <v>1</v>
      </c>
      <c r="C160" s="1">
        <v>1</v>
      </c>
      <c r="D160" s="888"/>
      <c r="E160" s="1041"/>
      <c r="F160" s="917" t="str">
        <f>IF(F159=$S$16,$T$10,IF(ROUNDDOWN(F159,0)=$S$10,$U$10,$T$10))</f>
        <v>　レベル　1</v>
      </c>
      <c r="G160" s="4043" t="s">
        <v>3022</v>
      </c>
      <c r="H160" s="4044"/>
      <c r="I160" s="4044"/>
      <c r="J160" s="4044"/>
      <c r="K160" s="4044"/>
      <c r="L160" s="4044"/>
      <c r="M160" s="4044"/>
      <c r="N160" s="4044"/>
      <c r="O160" s="4045"/>
    </row>
    <row r="161" spans="2:15" ht="18" customHeight="1">
      <c r="B161" s="1">
        <v>2</v>
      </c>
      <c r="C161" s="1">
        <v>2</v>
      </c>
      <c r="D161" s="888"/>
      <c r="E161" s="1041"/>
      <c r="F161" s="922" t="str">
        <f>IF(F159=$S$16,$T$11,IF(ROUNDDOWN(F159,0)=$S$11,$U$11,$T$11))</f>
        <v>　レベル　2</v>
      </c>
      <c r="G161" s="4040" t="s">
        <v>1642</v>
      </c>
      <c r="H161" s="4041"/>
      <c r="I161" s="4041"/>
      <c r="J161" s="4041"/>
      <c r="K161" s="4041"/>
      <c r="L161" s="4041"/>
      <c r="M161" s="4041"/>
      <c r="N161" s="4041"/>
      <c r="O161" s="4042"/>
    </row>
    <row r="162" spans="2:15" ht="18" customHeight="1">
      <c r="B162" s="1">
        <v>3</v>
      </c>
      <c r="C162" s="1">
        <v>3</v>
      </c>
      <c r="D162" s="888"/>
      <c r="E162" s="1041"/>
      <c r="F162" s="922" t="str">
        <f>IF(F159=$S$16,$T$12,IF(ROUNDDOWN(F159,0)=$S$12,$U$12,$T$12))</f>
        <v>■レベル　3</v>
      </c>
      <c r="G162" s="4040" t="s">
        <v>3000</v>
      </c>
      <c r="H162" s="4041"/>
      <c r="I162" s="4041"/>
      <c r="J162" s="4041"/>
      <c r="K162" s="4041"/>
      <c r="L162" s="4041"/>
      <c r="M162" s="4041"/>
      <c r="N162" s="4041"/>
      <c r="O162" s="4042"/>
    </row>
    <row r="163" spans="2:15" ht="18" customHeight="1">
      <c r="B163" s="1">
        <v>4</v>
      </c>
      <c r="C163" s="1">
        <v>4</v>
      </c>
      <c r="D163" s="888"/>
      <c r="E163" s="1041"/>
      <c r="F163" s="922" t="str">
        <f>IF(F159=$S$16,$T$13,IF(ROUNDDOWN(F159,0)=$S$13,$U$13,$T$13))</f>
        <v>　レベル　4</v>
      </c>
      <c r="G163" s="4040" t="s">
        <v>1236</v>
      </c>
      <c r="H163" s="4041"/>
      <c r="I163" s="4041"/>
      <c r="J163" s="4041"/>
      <c r="K163" s="4041"/>
      <c r="L163" s="4041"/>
      <c r="M163" s="4041"/>
      <c r="N163" s="4041"/>
      <c r="O163" s="4042"/>
    </row>
    <row r="164" spans="2:15" ht="18" customHeight="1">
      <c r="B164" s="1">
        <v>5</v>
      </c>
      <c r="C164" s="1">
        <v>5</v>
      </c>
      <c r="D164" s="888"/>
      <c r="E164" s="1041"/>
      <c r="F164" s="933" t="str">
        <f>IF(F159=$S$16,$T$14,IF(ROUNDDOWN(F159,0)=$S$14,$U$14,$T$14))</f>
        <v>　レベル　5</v>
      </c>
      <c r="G164" s="4037" t="s">
        <v>1237</v>
      </c>
      <c r="H164" s="4038"/>
      <c r="I164" s="4038"/>
      <c r="J164" s="4038"/>
      <c r="K164" s="4038"/>
      <c r="L164" s="4038"/>
      <c r="M164" s="4038"/>
      <c r="N164" s="4038"/>
      <c r="O164" s="4039"/>
    </row>
    <row r="165" spans="2:15" s="2521" customFormat="1" ht="18" customHeight="1">
      <c r="B165" s="940">
        <v>0</v>
      </c>
      <c r="C165" s="940">
        <v>0</v>
      </c>
      <c r="D165" s="2598"/>
      <c r="E165" s="2514"/>
      <c r="F165" s="2513"/>
      <c r="G165" s="2598" t="s">
        <v>2980</v>
      </c>
      <c r="H165" s="2513"/>
      <c r="I165" s="2513"/>
      <c r="J165" s="2513"/>
      <c r="K165" s="2513"/>
      <c r="L165" s="2513"/>
      <c r="M165" s="2513"/>
      <c r="N165" s="2513"/>
      <c r="O165" s="2513"/>
    </row>
    <row r="166" spans="2:15" s="2521" customFormat="1" ht="18" customHeight="1" thickBot="1">
      <c r="B166" s="2522"/>
      <c r="C166" s="2522"/>
      <c r="D166" s="2598"/>
      <c r="E166" s="2514"/>
      <c r="F166" s="2513"/>
      <c r="G166" s="2610" t="s">
        <v>2983</v>
      </c>
      <c r="H166" s="2611"/>
      <c r="I166" s="2611"/>
      <c r="J166" s="2611"/>
      <c r="K166" s="2611"/>
      <c r="L166" s="2611"/>
      <c r="M166" s="2611"/>
      <c r="N166" s="2611"/>
      <c r="O166" s="2612"/>
    </row>
    <row r="167" spans="2:15" s="2521" customFormat="1" ht="18" customHeight="1" thickBot="1">
      <c r="B167" s="2522"/>
      <c r="C167" s="2522"/>
      <c r="D167" s="2598"/>
      <c r="E167" s="2514"/>
      <c r="F167" s="2513"/>
      <c r="G167" s="2520" t="s">
        <v>2195</v>
      </c>
      <c r="H167" s="3736" t="s">
        <v>2986</v>
      </c>
      <c r="I167" s="3736"/>
      <c r="J167" s="3736"/>
      <c r="K167" s="3736"/>
      <c r="L167" s="3736"/>
      <c r="M167" s="3736"/>
      <c r="N167" s="3736"/>
      <c r="O167" s="3737"/>
    </row>
    <row r="168" spans="2:15" ht="14.25" customHeight="1">
      <c r="D168" s="888"/>
      <c r="E168" s="1039"/>
      <c r="F168" s="1207"/>
      <c r="G168" s="1207"/>
      <c r="H168" s="1207"/>
      <c r="I168" s="1207"/>
      <c r="J168" s="1207"/>
      <c r="K168" s="1207"/>
      <c r="L168" s="1442"/>
      <c r="M168" s="1442"/>
      <c r="N168" s="1442"/>
      <c r="O168" s="1442"/>
    </row>
    <row r="169" spans="2:15" ht="14.25" customHeight="1">
      <c r="D169" s="1311">
        <v>2.6</v>
      </c>
      <c r="E169" s="895" t="s">
        <v>1238</v>
      </c>
      <c r="F169" s="895"/>
      <c r="G169" s="1207"/>
      <c r="H169" s="1207"/>
      <c r="I169" s="1207"/>
      <c r="J169" s="1207"/>
      <c r="K169" s="1207"/>
      <c r="L169" s="1442"/>
      <c r="M169" s="1442"/>
      <c r="N169" s="1442"/>
      <c r="O169" s="1442"/>
    </row>
    <row r="170" spans="2:15" ht="15" thickBot="1">
      <c r="D170" s="1443"/>
      <c r="E170" s="1443"/>
      <c r="F170" s="1045"/>
      <c r="G170" s="904"/>
      <c r="H170" s="905"/>
      <c r="I170" s="906" t="s">
        <v>1121</v>
      </c>
      <c r="J170" s="907">
        <f>重み!M157</f>
        <v>0.2</v>
      </c>
      <c r="K170" s="1046"/>
      <c r="L170" s="1046"/>
      <c r="M170" s="1046"/>
      <c r="N170" s="1046"/>
      <c r="O170" s="916"/>
    </row>
    <row r="171" spans="2:15" ht="16.5" thickBot="1">
      <c r="D171" s="888"/>
      <c r="E171" s="1041"/>
      <c r="F171" s="1276">
        <f>IF(J170=0,0,G179)</f>
        <v>3</v>
      </c>
      <c r="G171" s="914" t="s">
        <v>390</v>
      </c>
      <c r="H171" s="915"/>
      <c r="I171" s="915"/>
      <c r="J171" s="915"/>
      <c r="K171" s="915"/>
      <c r="L171" s="1244"/>
      <c r="M171" s="915"/>
      <c r="N171" s="915"/>
      <c r="O171" s="916"/>
    </row>
    <row r="172" spans="2:15" ht="19.5" customHeight="1">
      <c r="B172" s="1" t="s">
        <v>3902</v>
      </c>
      <c r="C172" s="1">
        <v>1</v>
      </c>
      <c r="D172" s="888"/>
      <c r="E172" s="1041"/>
      <c r="F172" s="917" t="str">
        <f>IF(F171=$S$16,$T$10,IF(ROUNDDOWN(F171,0)=$S$10,$U$10,$T$10))</f>
        <v>　レベル　1</v>
      </c>
      <c r="G172" s="919" t="s">
        <v>1788</v>
      </c>
      <c r="H172" s="920"/>
      <c r="I172" s="920"/>
      <c r="J172" s="920"/>
      <c r="K172" s="920"/>
      <c r="L172" s="1245"/>
      <c r="M172" s="920"/>
      <c r="N172" s="920"/>
      <c r="O172" s="921"/>
    </row>
    <row r="173" spans="2:15" ht="19.5" customHeight="1">
      <c r="B173" s="1" t="s">
        <v>3902</v>
      </c>
      <c r="C173" s="1">
        <v>2</v>
      </c>
      <c r="D173" s="888"/>
      <c r="E173" s="1041"/>
      <c r="F173" s="922" t="str">
        <f>IF(F171=$S$16,$T$11,IF(ROUNDDOWN(F171,0)=$S$11,$U$11,$T$11))</f>
        <v>　レベル　2</v>
      </c>
      <c r="G173" s="926" t="s">
        <v>1788</v>
      </c>
      <c r="H173" s="927"/>
      <c r="I173" s="927"/>
      <c r="J173" s="927"/>
      <c r="K173" s="927"/>
      <c r="L173" s="1246"/>
      <c r="M173" s="927"/>
      <c r="N173" s="927"/>
      <c r="O173" s="928"/>
    </row>
    <row r="174" spans="2:15" ht="19.5" customHeight="1">
      <c r="B174" s="1">
        <v>3</v>
      </c>
      <c r="C174" s="1">
        <v>3</v>
      </c>
      <c r="D174" s="888"/>
      <c r="E174" s="1041"/>
      <c r="F174" s="922" t="str">
        <f>IF(F171=$S$16,$T$12,IF(ROUNDDOWN(F171,0)=$S$12,$U$12,$T$12))</f>
        <v>■レベル　3</v>
      </c>
      <c r="G174" s="926" t="s">
        <v>3001</v>
      </c>
      <c r="H174" s="927"/>
      <c r="I174" s="927"/>
      <c r="J174" s="927"/>
      <c r="K174" s="927"/>
      <c r="L174" s="1246"/>
      <c r="M174" s="927"/>
      <c r="N174" s="927"/>
      <c r="O174" s="928"/>
    </row>
    <row r="175" spans="2:15" ht="19.5" customHeight="1">
      <c r="B175" s="1">
        <v>4</v>
      </c>
      <c r="C175" s="1">
        <v>4</v>
      </c>
      <c r="D175" s="888"/>
      <c r="E175" s="1041"/>
      <c r="F175" s="922" t="str">
        <f>IF(F171=$S$16,$T$13,IF(ROUNDDOWN(F171,0)=$S$13,$U$13,$T$13))</f>
        <v>　レベル　4</v>
      </c>
      <c r="G175" s="926" t="s">
        <v>3002</v>
      </c>
      <c r="H175" s="927"/>
      <c r="I175" s="927"/>
      <c r="J175" s="927"/>
      <c r="K175" s="927"/>
      <c r="L175" s="1246"/>
      <c r="M175" s="927"/>
      <c r="N175" s="927"/>
      <c r="O175" s="928"/>
    </row>
    <row r="176" spans="2:15" ht="19.5" customHeight="1" thickBot="1">
      <c r="B176" s="1">
        <v>5</v>
      </c>
      <c r="C176" s="1">
        <v>5</v>
      </c>
      <c r="D176" s="888"/>
      <c r="E176" s="1041"/>
      <c r="F176" s="933" t="str">
        <f>IF(F171=$S$16,$T$14,IF(ROUNDDOWN(F171,0)=$S$14,$U$14,$T$14))</f>
        <v>　レベル　5</v>
      </c>
      <c r="G176" s="937" t="s">
        <v>3003</v>
      </c>
      <c r="H176" s="938"/>
      <c r="I176" s="938"/>
      <c r="J176" s="938"/>
      <c r="K176" s="938"/>
      <c r="L176" s="1247"/>
      <c r="M176" s="938"/>
      <c r="N176" s="938"/>
      <c r="O176" s="939"/>
    </row>
    <row r="177" spans="2:15" s="2445" customFormat="1" ht="16.5" thickBot="1">
      <c r="B177" s="940">
        <v>0</v>
      </c>
      <c r="C177" s="940">
        <v>0</v>
      </c>
      <c r="D177" s="888"/>
      <c r="E177" s="3088"/>
      <c r="F177" s="910">
        <v>0</v>
      </c>
      <c r="G177" s="1138" t="s">
        <v>2193</v>
      </c>
      <c r="H177" s="3089" t="s">
        <v>3822</v>
      </c>
      <c r="I177" s="140"/>
      <c r="J177" s="140"/>
      <c r="K177" s="140"/>
      <c r="L177" s="140"/>
      <c r="M177" s="140"/>
      <c r="N177" s="896"/>
      <c r="O177" s="896"/>
    </row>
    <row r="178" spans="2:15" ht="17.25" customHeight="1" thickBot="1">
      <c r="D178" s="888"/>
      <c r="E178" s="1039"/>
      <c r="F178" s="1207"/>
      <c r="G178" s="1278" t="s">
        <v>2030</v>
      </c>
      <c r="H178" s="893"/>
      <c r="I178" s="893"/>
      <c r="J178" s="1444" t="s">
        <v>374</v>
      </c>
      <c r="K178" s="1445">
        <f>COUNTIF(G180:G183,"○")</f>
        <v>0</v>
      </c>
      <c r="L178" s="1268" t="s">
        <v>1772</v>
      </c>
      <c r="M178" s="893"/>
      <c r="N178" s="896"/>
      <c r="O178" s="896"/>
    </row>
    <row r="179" spans="2:15" ht="12.75" customHeight="1" thickBot="1">
      <c r="D179" s="888"/>
      <c r="E179" s="1039"/>
      <c r="F179" s="1207"/>
      <c r="G179" s="2074">
        <f>IF(H177=T4,F177,IF(COUNTIF(G180:G183,"○")&lt;1,3,IF(COUNTIF(G180:G183,"○")=1,4,IF(COUNTIF(G180:G183,"○")&gt;=2,5))))</f>
        <v>3</v>
      </c>
      <c r="H179" s="1323" t="s">
        <v>1430</v>
      </c>
      <c r="I179" s="2051"/>
      <c r="J179" s="2051"/>
      <c r="K179" s="2052"/>
      <c r="L179" s="2053"/>
      <c r="M179" s="2051"/>
      <c r="N179" s="2051"/>
      <c r="O179" s="1446"/>
    </row>
    <row r="180" spans="2:15" ht="15.75">
      <c r="D180" s="888"/>
      <c r="E180" s="1039"/>
      <c r="F180" s="1207"/>
      <c r="G180" s="1226"/>
      <c r="H180" s="1242" t="s">
        <v>1239</v>
      </c>
      <c r="I180" s="2051"/>
      <c r="J180" s="2051"/>
      <c r="K180" s="2051"/>
      <c r="L180" s="2053"/>
      <c r="M180" s="2051"/>
      <c r="N180" s="2051"/>
      <c r="O180" s="2054"/>
    </row>
    <row r="181" spans="2:15" ht="15.75">
      <c r="D181" s="888"/>
      <c r="E181" s="1039"/>
      <c r="F181" s="1207"/>
      <c r="G181" s="1229"/>
      <c r="H181" s="1187" t="s">
        <v>3004</v>
      </c>
      <c r="I181" s="2055"/>
      <c r="J181" s="2055"/>
      <c r="K181" s="2055"/>
      <c r="L181" s="2056"/>
      <c r="M181" s="2055"/>
      <c r="N181" s="2055"/>
      <c r="O181" s="2057"/>
    </row>
    <row r="182" spans="2:15" ht="15.75">
      <c r="D182" s="888"/>
      <c r="E182" s="1039"/>
      <c r="F182" s="1207"/>
      <c r="G182" s="2119"/>
      <c r="H182" s="2126" t="s">
        <v>51</v>
      </c>
      <c r="I182" s="2127"/>
      <c r="J182" s="2127"/>
      <c r="K182" s="2127"/>
      <c r="L182" s="2128"/>
      <c r="M182" s="2127"/>
      <c r="N182" s="2127"/>
      <c r="O182" s="2129"/>
    </row>
    <row r="183" spans="2:15" ht="16.5" thickBot="1">
      <c r="D183" s="888"/>
      <c r="E183" s="1039"/>
      <c r="F183" s="1207"/>
      <c r="G183" s="1340"/>
      <c r="H183" s="1156" t="s">
        <v>3005</v>
      </c>
      <c r="I183" s="2058"/>
      <c r="J183" s="2058"/>
      <c r="K183" s="2058"/>
      <c r="L183" s="2059"/>
      <c r="M183" s="2058"/>
      <c r="N183" s="2058"/>
      <c r="O183" s="2060"/>
    </row>
    <row r="184" spans="2:15" ht="15.75">
      <c r="D184" s="888"/>
      <c r="E184" s="888"/>
      <c r="F184" s="888"/>
      <c r="G184" s="888"/>
      <c r="H184" s="888"/>
      <c r="I184" s="888"/>
      <c r="J184" s="888"/>
      <c r="K184" s="888"/>
      <c r="L184" s="1436"/>
      <c r="M184" s="888"/>
      <c r="N184" s="888"/>
      <c r="O184" s="888"/>
    </row>
    <row r="185" spans="2:15" s="2445" customFormat="1" ht="15.75" hidden="1">
      <c r="D185" s="1203"/>
      <c r="E185" s="1022"/>
      <c r="F185" s="1064" t="s">
        <v>3903</v>
      </c>
      <c r="G185" s="976"/>
      <c r="H185" s="1025"/>
      <c r="I185" s="1005"/>
      <c r="J185" s="979" t="str">
        <f>IF(OR(F187=0,J186=0),$R$3,"")</f>
        <v>&lt;評価しない&gt;</v>
      </c>
      <c r="K185" s="1064" t="s">
        <v>3904</v>
      </c>
      <c r="L185" s="976"/>
      <c r="M185" s="1025"/>
      <c r="N185" s="1005"/>
      <c r="O185" s="979" t="str">
        <f>IF(OR(K187=0,O186=0),$R$3,"")</f>
        <v>&lt;評価しない&gt;</v>
      </c>
    </row>
    <row r="186" spans="2:15" s="2445" customFormat="1" ht="16.5" hidden="1" thickBot="1">
      <c r="D186" s="888"/>
      <c r="E186" s="893"/>
      <c r="F186" s="903"/>
      <c r="G186" s="904"/>
      <c r="H186" s="905"/>
      <c r="I186" s="906" t="s">
        <v>1121</v>
      </c>
      <c r="J186" s="909">
        <f>重み!M159</f>
        <v>0</v>
      </c>
      <c r="K186" s="903"/>
      <c r="L186" s="904"/>
      <c r="M186" s="905"/>
      <c r="N186" s="906" t="s">
        <v>1121</v>
      </c>
      <c r="O186" s="909">
        <f>重み!M160</f>
        <v>0</v>
      </c>
    </row>
    <row r="187" spans="2:15" s="2445" customFormat="1" ht="26.25" hidden="1" customHeight="1" thickBot="1">
      <c r="B187" s="3093" t="s">
        <v>3345</v>
      </c>
      <c r="C187" s="3093" t="s">
        <v>3345</v>
      </c>
      <c r="D187" s="888"/>
      <c r="E187" s="893"/>
      <c r="F187" s="910">
        <v>5</v>
      </c>
      <c r="G187" s="3018" t="s">
        <v>74</v>
      </c>
      <c r="H187" s="997"/>
      <c r="I187" s="997"/>
      <c r="J187" s="1011"/>
      <c r="K187" s="910">
        <v>4</v>
      </c>
      <c r="L187" s="3018" t="s">
        <v>74</v>
      </c>
      <c r="M187" s="1011"/>
      <c r="N187" s="3018"/>
      <c r="O187" s="3094"/>
    </row>
    <row r="188" spans="2:15" s="2445" customFormat="1" ht="34.5" hidden="1" customHeight="1">
      <c r="B188" s="1">
        <v>1</v>
      </c>
      <c r="C188" s="1">
        <v>1</v>
      </c>
      <c r="D188" s="888"/>
      <c r="E188" s="893"/>
      <c r="F188" s="3095" t="str">
        <f>IF(F187=$S$15,$T$10,IF(ROUNDDOWN(F187,0)=$S$10,$U$10,$T$10))</f>
        <v>　レベル　1</v>
      </c>
      <c r="G188" s="4046" t="s">
        <v>3905</v>
      </c>
      <c r="H188" s="4047"/>
      <c r="I188" s="4047"/>
      <c r="J188" s="4048"/>
      <c r="K188" s="3095" t="str">
        <f>IF(K187=$S$15,$T$10,IF(ROUNDDOWN(K187,0)=$S$10,$U$10,$T$10))</f>
        <v>　レベル　1</v>
      </c>
      <c r="L188" s="4046" t="s">
        <v>3906</v>
      </c>
      <c r="M188" s="4047"/>
      <c r="N188" s="4047"/>
      <c r="O188" s="4048"/>
    </row>
    <row r="189" spans="2:15" s="2445" customFormat="1" ht="34.5" hidden="1" customHeight="1">
      <c r="B189" s="1">
        <v>2</v>
      </c>
      <c r="C189" s="1">
        <v>2</v>
      </c>
      <c r="D189" s="888"/>
      <c r="E189" s="893"/>
      <c r="F189" s="3096" t="str">
        <f>IF(F187=$S$15,$T$11,IF(ROUNDDOWN(F187,0)=$S$11,$U$11,$T$11))</f>
        <v>　レベル　2</v>
      </c>
      <c r="G189" s="4049" t="s">
        <v>3907</v>
      </c>
      <c r="H189" s="4050"/>
      <c r="I189" s="4050"/>
      <c r="J189" s="4051"/>
      <c r="K189" s="3096" t="str">
        <f>IF(K187=$S$15,$T$11,IF(ROUNDDOWN(K187,0)=$S$11,$U$11,$T$11))</f>
        <v>　レベル　2</v>
      </c>
      <c r="L189" s="4049" t="s">
        <v>3908</v>
      </c>
      <c r="M189" s="4050"/>
      <c r="N189" s="4050"/>
      <c r="O189" s="4051"/>
    </row>
    <row r="190" spans="2:15" s="2445" customFormat="1" ht="34.5" hidden="1" customHeight="1">
      <c r="B190" s="1">
        <v>3</v>
      </c>
      <c r="C190" s="1">
        <v>3</v>
      </c>
      <c r="D190" s="888"/>
      <c r="E190" s="893"/>
      <c r="F190" s="3096" t="str">
        <f>IF(F187=$S$15,$T$12,IF(ROUNDDOWN(F187,0)=$S$12,$U$12,$T$12))</f>
        <v>　レベル　3</v>
      </c>
      <c r="G190" s="4049" t="s">
        <v>3909</v>
      </c>
      <c r="H190" s="4050"/>
      <c r="I190" s="4050"/>
      <c r="J190" s="4051"/>
      <c r="K190" s="3096" t="str">
        <f>IF(K187=$S$15,$T$12,IF(ROUNDDOWN(K187,0)=$S$12,$U$12,$T$12))</f>
        <v>　レベル　3</v>
      </c>
      <c r="L190" s="4049" t="s">
        <v>3910</v>
      </c>
      <c r="M190" s="4050"/>
      <c r="N190" s="4050"/>
      <c r="O190" s="4051"/>
    </row>
    <row r="191" spans="2:15" s="2445" customFormat="1" ht="34.5" hidden="1" customHeight="1">
      <c r="B191" s="1">
        <v>4</v>
      </c>
      <c r="C191" s="1">
        <v>4</v>
      </c>
      <c r="D191" s="888"/>
      <c r="E191" s="893"/>
      <c r="F191" s="3096" t="str">
        <f>IF(F187=$S$15,$T$13,IF(ROUNDDOWN(F187,0)=$S$13,$U$13,$T$13))</f>
        <v>　レベル　4</v>
      </c>
      <c r="G191" s="4049" t="s">
        <v>3911</v>
      </c>
      <c r="H191" s="4050"/>
      <c r="I191" s="4050"/>
      <c r="J191" s="4051"/>
      <c r="K191" s="3096" t="str">
        <f>IF(K187=$S$15,$T$13,IF(ROUNDDOWN(K187,0)=$S$13,$U$13,$T$13))</f>
        <v>■レベル　4</v>
      </c>
      <c r="L191" s="4049" t="s">
        <v>3912</v>
      </c>
      <c r="M191" s="4050"/>
      <c r="N191" s="4050"/>
      <c r="O191" s="4051"/>
    </row>
    <row r="192" spans="2:15" s="2445" customFormat="1" ht="34.5" hidden="1" customHeight="1">
      <c r="B192" s="1">
        <v>5</v>
      </c>
      <c r="C192" s="1">
        <v>5</v>
      </c>
      <c r="D192" s="888"/>
      <c r="E192" s="893"/>
      <c r="F192" s="3097" t="str">
        <f>IF(F187=$S$15,$T$14,IF(ROUNDDOWN(F187,0)=$S$14,$U$14,$T$14))</f>
        <v>■レベル　5</v>
      </c>
      <c r="G192" s="4075" t="s">
        <v>3913</v>
      </c>
      <c r="H192" s="4076"/>
      <c r="I192" s="4076"/>
      <c r="J192" s="4077"/>
      <c r="K192" s="3097" t="str">
        <f>IF(K187=$S$15,$T$14,IF(ROUNDDOWN(K187,0)=$S$14,$U$14,$T$14))</f>
        <v>　レベル　5</v>
      </c>
      <c r="L192" s="4075" t="s">
        <v>3914</v>
      </c>
      <c r="M192" s="4076"/>
      <c r="N192" s="4076"/>
      <c r="O192" s="4077"/>
    </row>
    <row r="193" spans="2:15" s="2445" customFormat="1" ht="15.75" hidden="1">
      <c r="B193" s="940">
        <v>0</v>
      </c>
      <c r="C193" s="940">
        <v>0</v>
      </c>
      <c r="D193" s="888"/>
      <c r="E193" s="888"/>
      <c r="F193" s="888"/>
      <c r="G193" s="888"/>
      <c r="H193" s="888"/>
      <c r="I193" s="888"/>
      <c r="J193" s="888"/>
      <c r="K193" s="888"/>
      <c r="L193" s="1436"/>
      <c r="M193" s="888"/>
      <c r="N193" s="888"/>
      <c r="O193" s="888"/>
    </row>
    <row r="194" spans="2:15" s="2445" customFormat="1" ht="15.75" hidden="1">
      <c r="B194" s="1616"/>
      <c r="C194" s="1616"/>
      <c r="D194" s="888"/>
      <c r="E194" s="888"/>
      <c r="F194" s="1064" t="s">
        <v>3915</v>
      </c>
      <c r="G194" s="976"/>
      <c r="H194" s="1025"/>
      <c r="I194" s="1005"/>
      <c r="J194" s="979" t="str">
        <f>IF(OR(F196=0,J195=0),$R$3,"")</f>
        <v>&lt;評価しない&gt;</v>
      </c>
      <c r="K194" s="1064" t="s">
        <v>3916</v>
      </c>
      <c r="L194" s="976"/>
      <c r="M194" s="1025"/>
      <c r="N194" s="1005"/>
      <c r="O194" s="979" t="str">
        <f>IF(OR(K196=0,O195=0),$R$3,"")</f>
        <v>&lt;評価しない&gt;</v>
      </c>
    </row>
    <row r="195" spans="2:15" s="2445" customFormat="1" ht="16.5" hidden="1" thickBot="1">
      <c r="B195" s="1616"/>
      <c r="C195" s="1616"/>
      <c r="D195" s="888"/>
      <c r="E195" s="888"/>
      <c r="F195" s="903"/>
      <c r="G195" s="904"/>
      <c r="H195" s="905"/>
      <c r="I195" s="906" t="s">
        <v>1121</v>
      </c>
      <c r="J195" s="909">
        <f>重み!M161</f>
        <v>0</v>
      </c>
      <c r="K195" s="903"/>
      <c r="L195" s="904"/>
      <c r="M195" s="905"/>
      <c r="N195" s="906" t="s">
        <v>1121</v>
      </c>
      <c r="O195" s="909">
        <f>重み!M162</f>
        <v>0</v>
      </c>
    </row>
    <row r="196" spans="2:15" s="2445" customFormat="1" ht="16.5" hidden="1" thickBot="1">
      <c r="B196" s="3093" t="s">
        <v>3345</v>
      </c>
      <c r="C196" s="3093" t="s">
        <v>3345</v>
      </c>
      <c r="D196" s="888"/>
      <c r="E196" s="888"/>
      <c r="F196" s="910">
        <v>4</v>
      </c>
      <c r="G196" s="3018" t="s">
        <v>74</v>
      </c>
      <c r="H196" s="997"/>
      <c r="I196" s="997"/>
      <c r="J196" s="1011"/>
      <c r="K196" s="910">
        <v>4</v>
      </c>
      <c r="L196" s="3018" t="s">
        <v>74</v>
      </c>
      <c r="M196" s="1011"/>
      <c r="N196" s="3018"/>
      <c r="O196" s="3094"/>
    </row>
    <row r="197" spans="2:15" s="2445" customFormat="1" ht="32.25" hidden="1" customHeight="1">
      <c r="B197" s="1">
        <v>1</v>
      </c>
      <c r="C197" s="1">
        <v>1</v>
      </c>
      <c r="D197" s="888"/>
      <c r="E197" s="888"/>
      <c r="F197" s="3095" t="str">
        <f>IF(F196=$S$15,$T$10,IF(ROUNDDOWN(F196,0)=$S$10,$U$10,$T$10))</f>
        <v>　レベル　1</v>
      </c>
      <c r="G197" s="4046" t="s">
        <v>3917</v>
      </c>
      <c r="H197" s="4047"/>
      <c r="I197" s="4047"/>
      <c r="J197" s="4048"/>
      <c r="K197" s="3095" t="str">
        <f>IF(K196=$S$15,$T$10,IF(ROUNDDOWN(K196,0)=$S$10,$U$10,$T$10))</f>
        <v>　レベル　1</v>
      </c>
      <c r="L197" s="4046" t="s">
        <v>3918</v>
      </c>
      <c r="M197" s="4047"/>
      <c r="N197" s="4047"/>
      <c r="O197" s="4048"/>
    </row>
    <row r="198" spans="2:15" s="2445" customFormat="1" ht="32.25" hidden="1" customHeight="1">
      <c r="B198" s="1">
        <v>2</v>
      </c>
      <c r="C198" s="1">
        <v>2</v>
      </c>
      <c r="D198" s="888"/>
      <c r="E198" s="888"/>
      <c r="F198" s="3096" t="str">
        <f>IF(F196=$S$15,$T$11,IF(ROUNDDOWN(F196,0)=$S$11,$U$11,$T$11))</f>
        <v>　レベル　2</v>
      </c>
      <c r="G198" s="4049" t="s">
        <v>3919</v>
      </c>
      <c r="H198" s="4050"/>
      <c r="I198" s="4050"/>
      <c r="J198" s="4051"/>
      <c r="K198" s="3096" t="str">
        <f>IF(K196=$S$15,$T$11,IF(ROUNDDOWN(K196,0)=$S$11,$U$11,$T$11))</f>
        <v>　レベル　2</v>
      </c>
      <c r="L198" s="4049" t="s">
        <v>3920</v>
      </c>
      <c r="M198" s="4050"/>
      <c r="N198" s="4050"/>
      <c r="O198" s="4051"/>
    </row>
    <row r="199" spans="2:15" s="2445" customFormat="1" ht="32.25" hidden="1" customHeight="1">
      <c r="B199" s="1">
        <v>3</v>
      </c>
      <c r="C199" s="1">
        <v>3</v>
      </c>
      <c r="D199" s="888"/>
      <c r="E199" s="888"/>
      <c r="F199" s="3096" t="str">
        <f>IF(F196=$S$15,$T$12,IF(ROUNDDOWN(F196,0)=$S$12,$U$12,$T$12))</f>
        <v>　レベル　3</v>
      </c>
      <c r="G199" s="4049" t="s">
        <v>3921</v>
      </c>
      <c r="H199" s="4050"/>
      <c r="I199" s="4050"/>
      <c r="J199" s="4051"/>
      <c r="K199" s="3096" t="str">
        <f>IF(K196=$S$15,$T$12,IF(ROUNDDOWN(K196,0)=$S$12,$U$12,$T$12))</f>
        <v>　レベル　3</v>
      </c>
      <c r="L199" s="4049" t="s">
        <v>3922</v>
      </c>
      <c r="M199" s="4050"/>
      <c r="N199" s="4050"/>
      <c r="O199" s="4051"/>
    </row>
    <row r="200" spans="2:15" s="2445" customFormat="1" ht="32.25" hidden="1" customHeight="1">
      <c r="B200" s="1">
        <v>4</v>
      </c>
      <c r="C200" s="1">
        <v>4</v>
      </c>
      <c r="D200" s="888"/>
      <c r="E200" s="888"/>
      <c r="F200" s="3096" t="str">
        <f>IF(F196=$S$15,$T$13,IF(ROUNDDOWN(F196,0)=$S$13,$U$13,$T$13))</f>
        <v>■レベル　4</v>
      </c>
      <c r="G200" s="4049" t="s">
        <v>3923</v>
      </c>
      <c r="H200" s="4050"/>
      <c r="I200" s="4050"/>
      <c r="J200" s="4051"/>
      <c r="K200" s="3096" t="str">
        <f>IF(K196=$S$15,$T$13,IF(ROUNDDOWN(K196,0)=$S$13,$U$13,$T$13))</f>
        <v>■レベル　4</v>
      </c>
      <c r="L200" s="4049" t="s">
        <v>3924</v>
      </c>
      <c r="M200" s="4050"/>
      <c r="N200" s="4050"/>
      <c r="O200" s="4051"/>
    </row>
    <row r="201" spans="2:15" s="2445" customFormat="1" ht="32.25" hidden="1" customHeight="1">
      <c r="B201" s="1">
        <v>5</v>
      </c>
      <c r="C201" s="1">
        <v>5</v>
      </c>
      <c r="D201" s="888"/>
      <c r="E201" s="888"/>
      <c r="F201" s="3097" t="str">
        <f>IF(F196=$S$15,$T$14,IF(ROUNDDOWN(F196,0)=$S$14,$U$14,$T$14))</f>
        <v>　レベル　5</v>
      </c>
      <c r="G201" s="4075" t="s">
        <v>3925</v>
      </c>
      <c r="H201" s="4076"/>
      <c r="I201" s="4076"/>
      <c r="J201" s="4077"/>
      <c r="K201" s="3097" t="str">
        <f>IF(K196=$S$15,$T$14,IF(ROUNDDOWN(K196,0)=$S$14,$U$14,$T$14))</f>
        <v>　レベル　5</v>
      </c>
      <c r="L201" s="4075" t="s">
        <v>3926</v>
      </c>
      <c r="M201" s="4076"/>
      <c r="N201" s="4076"/>
      <c r="O201" s="4077"/>
    </row>
    <row r="202" spans="2:15" s="2445" customFormat="1" ht="15.75" hidden="1">
      <c r="B202" s="940">
        <v>0</v>
      </c>
      <c r="C202" s="940">
        <v>0</v>
      </c>
      <c r="D202" s="888"/>
      <c r="E202" s="888"/>
      <c r="F202" s="888"/>
      <c r="G202" s="888"/>
      <c r="H202" s="888"/>
      <c r="I202" s="888"/>
      <c r="J202" s="888"/>
      <c r="K202" s="888"/>
      <c r="L202" s="1436"/>
      <c r="M202" s="888"/>
      <c r="N202" s="888"/>
      <c r="O202" s="888"/>
    </row>
    <row r="203" spans="2:15" s="2445" customFormat="1" ht="15.75" hidden="1">
      <c r="B203" s="1616"/>
      <c r="C203" s="1616"/>
      <c r="D203" s="888"/>
      <c r="E203" s="888"/>
      <c r="F203" s="1064" t="s">
        <v>3927</v>
      </c>
      <c r="G203" s="976"/>
      <c r="H203" s="1025"/>
      <c r="I203" s="1005"/>
      <c r="J203" s="979" t="str">
        <f>IF(OR(F205=0,J204=0),$R$3,"")</f>
        <v>&lt;評価しない&gt;</v>
      </c>
      <c r="K203" s="1064" t="s">
        <v>3928</v>
      </c>
      <c r="L203" s="976"/>
      <c r="M203" s="1025"/>
      <c r="N203" s="1005"/>
      <c r="O203" s="979" t="str">
        <f>IF(OR(K205=0,O204=0),$R$3,"")</f>
        <v>&lt;評価しない&gt;</v>
      </c>
    </row>
    <row r="204" spans="2:15" s="2445" customFormat="1" ht="16.5" hidden="1" thickBot="1">
      <c r="B204" s="1616"/>
      <c r="C204" s="1616"/>
      <c r="D204" s="888"/>
      <c r="E204" s="888"/>
      <c r="F204" s="903"/>
      <c r="G204" s="904"/>
      <c r="H204" s="905"/>
      <c r="I204" s="906" t="s">
        <v>1121</v>
      </c>
      <c r="J204" s="909">
        <f>重み!M163</f>
        <v>0</v>
      </c>
      <c r="K204" s="903"/>
      <c r="L204" s="904"/>
      <c r="M204" s="905"/>
      <c r="N204" s="906" t="s">
        <v>1121</v>
      </c>
      <c r="O204" s="909">
        <f>重み!M164</f>
        <v>0</v>
      </c>
    </row>
    <row r="205" spans="2:15" s="2445" customFormat="1" ht="16.5" hidden="1" thickBot="1">
      <c r="B205" s="3093" t="s">
        <v>3345</v>
      </c>
      <c r="C205" s="3093" t="s">
        <v>3345</v>
      </c>
      <c r="D205" s="888"/>
      <c r="E205" s="888"/>
      <c r="F205" s="910">
        <f>IF(H211=$T$4,F211,IF(G223&lt;1,1,IF(G223=1,2,IF(G223=2,3,IF(G223=3,4,5)))))</f>
        <v>5</v>
      </c>
      <c r="G205" s="3018" t="s">
        <v>74</v>
      </c>
      <c r="H205" s="997"/>
      <c r="I205" s="997"/>
      <c r="J205" s="1011"/>
      <c r="K205" s="910">
        <f>IF(M211=$T$4,K211,IF(L220&lt;1,1,IF(L220=1,3,IF(L220=2,4,5))))</f>
        <v>5</v>
      </c>
      <c r="L205" s="3018" t="s">
        <v>74</v>
      </c>
      <c r="M205" s="1011"/>
      <c r="N205" s="3018"/>
      <c r="O205" s="3094"/>
    </row>
    <row r="206" spans="2:15" s="2445" customFormat="1" ht="15.75" hidden="1">
      <c r="B206" s="1">
        <v>1</v>
      </c>
      <c r="C206" s="1">
        <v>1</v>
      </c>
      <c r="D206" s="888"/>
      <c r="E206" s="888"/>
      <c r="F206" s="3095" t="str">
        <f>IF(F205=$S$15,$T$10,IF(ROUNDDOWN(F205,0)=$S$10,$U$10,$T$10))</f>
        <v>　レベル　1</v>
      </c>
      <c r="G206" s="1149" t="s">
        <v>652</v>
      </c>
      <c r="H206" s="3098"/>
      <c r="I206" s="3098"/>
      <c r="J206" s="1151"/>
      <c r="K206" s="3095" t="str">
        <f>IF(K205=$S$15,$T$10,IF(ROUNDDOWN(K205,0)=$S$10,$U$10,$T$10))</f>
        <v>　レベル　1</v>
      </c>
      <c r="L206" s="1149" t="s">
        <v>652</v>
      </c>
      <c r="M206" s="3098"/>
      <c r="N206" s="3098"/>
      <c r="O206" s="1151"/>
    </row>
    <row r="207" spans="2:15" s="2445" customFormat="1" ht="15.75" hidden="1">
      <c r="B207" s="1">
        <v>2</v>
      </c>
      <c r="C207" s="1" t="s">
        <v>185</v>
      </c>
      <c r="D207" s="888"/>
      <c r="E207" s="888"/>
      <c r="F207" s="3096" t="str">
        <f>IF(F205=$S$15,$T$11,IF(ROUNDDOWN(F205,0)=$S$11,$U$11,$T$11))</f>
        <v>　レベル　2</v>
      </c>
      <c r="G207" s="1152" t="s">
        <v>3929</v>
      </c>
      <c r="H207" s="3040"/>
      <c r="I207" s="3040"/>
      <c r="J207" s="3091"/>
      <c r="K207" s="3096" t="str">
        <f>IF(K205=$S$15,$T$11,IF(ROUNDDOWN(K205,0)=$S$11,$U$11,$T$11))</f>
        <v>　レベル　2</v>
      </c>
      <c r="L207" s="1152" t="s">
        <v>1788</v>
      </c>
      <c r="M207" s="3040"/>
      <c r="N207" s="3040"/>
      <c r="O207" s="3091"/>
    </row>
    <row r="208" spans="2:15" s="2445" customFormat="1" ht="15.75" hidden="1">
      <c r="B208" s="1">
        <v>3</v>
      </c>
      <c r="C208" s="1">
        <v>3</v>
      </c>
      <c r="D208" s="888"/>
      <c r="E208" s="888"/>
      <c r="F208" s="3096" t="str">
        <f>IF(F205=$S$15,$T$12,IF(ROUNDDOWN(F205,0)=$S$12,$U$12,$T$12))</f>
        <v>　レベル　3</v>
      </c>
      <c r="G208" s="1152" t="s">
        <v>1479</v>
      </c>
      <c r="H208" s="3040"/>
      <c r="I208" s="3040"/>
      <c r="J208" s="3091"/>
      <c r="K208" s="3096" t="str">
        <f>IF(K205=$S$15,$T$12,IF(ROUNDDOWN(K205,0)=$S$12,$U$12,$T$12))</f>
        <v>　レベル　3</v>
      </c>
      <c r="L208" s="1152" t="s">
        <v>3929</v>
      </c>
      <c r="M208" s="3040"/>
      <c r="N208" s="3040"/>
      <c r="O208" s="3091"/>
    </row>
    <row r="209" spans="2:15" s="2445" customFormat="1" ht="15.75" hidden="1">
      <c r="B209" s="1">
        <v>4</v>
      </c>
      <c r="C209" s="1">
        <v>4</v>
      </c>
      <c r="D209" s="888"/>
      <c r="E209" s="888"/>
      <c r="F209" s="3096" t="str">
        <f>IF(F205=$S$15,$T$13,IF(ROUNDDOWN(F205,0)=$S$13,$U$13,$T$13))</f>
        <v>　レベル　4</v>
      </c>
      <c r="G209" s="1152" t="s">
        <v>3930</v>
      </c>
      <c r="H209" s="3040"/>
      <c r="I209" s="3040"/>
      <c r="J209" s="3091"/>
      <c r="K209" s="3096" t="str">
        <f>IF(K205=$S$15,$T$13,IF(ROUNDDOWN(K205,0)=$S$13,$U$13,$T$13))</f>
        <v>　レベル　4</v>
      </c>
      <c r="L209" s="1152" t="s">
        <v>1479</v>
      </c>
      <c r="M209" s="3040"/>
      <c r="N209" s="3040"/>
      <c r="O209" s="3091"/>
    </row>
    <row r="210" spans="2:15" s="2445" customFormat="1" ht="16.5" hidden="1" thickBot="1">
      <c r="B210" s="1">
        <v>5</v>
      </c>
      <c r="C210" s="1">
        <v>5</v>
      </c>
      <c r="D210" s="888"/>
      <c r="E210" s="888"/>
      <c r="F210" s="3097" t="str">
        <f>IF(F205=$S$15,$T$14,IF(ROUNDDOWN(F205,0)=$S$14,$U$14,$T$14))</f>
        <v>■レベル　5</v>
      </c>
      <c r="G210" s="1155" t="s">
        <v>3931</v>
      </c>
      <c r="H210" s="3099"/>
      <c r="I210" s="3099"/>
      <c r="J210" s="1157"/>
      <c r="K210" s="3097" t="str">
        <f>IF(K205=$S$15,$T$14,IF(ROUNDDOWN(K205,0)=$S$14,$U$14,$T$14))</f>
        <v>■レベル　5</v>
      </c>
      <c r="L210" s="1155" t="s">
        <v>3932</v>
      </c>
      <c r="M210" s="3099"/>
      <c r="N210" s="3099"/>
      <c r="O210" s="1157"/>
    </row>
    <row r="211" spans="2:15" s="2445" customFormat="1" ht="16.5" hidden="1" thickBot="1">
      <c r="B211" s="940">
        <v>0</v>
      </c>
      <c r="C211" s="940">
        <v>0</v>
      </c>
      <c r="D211" s="888"/>
      <c r="E211" s="888"/>
      <c r="F211" s="910">
        <v>0</v>
      </c>
      <c r="G211" s="1138" t="s">
        <v>2193</v>
      </c>
      <c r="H211" s="3089" t="s">
        <v>3822</v>
      </c>
      <c r="I211" s="1214"/>
      <c r="J211" s="1214"/>
      <c r="K211" s="910">
        <v>0</v>
      </c>
      <c r="L211" s="1138" t="s">
        <v>2193</v>
      </c>
      <c r="M211" s="3089" t="s">
        <v>3822</v>
      </c>
      <c r="N211" s="1214"/>
      <c r="O211" s="1214"/>
    </row>
    <row r="212" spans="2:15" s="2445" customFormat="1" ht="15.75" hidden="1">
      <c r="D212" s="888"/>
      <c r="E212" s="888"/>
      <c r="F212" s="3100" t="s">
        <v>2203</v>
      </c>
      <c r="K212" s="3100" t="s">
        <v>2203</v>
      </c>
    </row>
    <row r="213" spans="2:15" s="2445" customFormat="1" ht="16.5" hidden="1" thickBot="1">
      <c r="D213" s="888"/>
      <c r="E213" s="888"/>
      <c r="F213" s="2424" t="s">
        <v>952</v>
      </c>
      <c r="G213" s="1334" t="s">
        <v>3933</v>
      </c>
      <c r="H213" s="3101"/>
      <c r="I213" s="3101"/>
      <c r="J213" s="3102"/>
      <c r="K213" s="2424" t="s">
        <v>952</v>
      </c>
      <c r="L213" s="1334" t="s">
        <v>3933</v>
      </c>
      <c r="M213" s="3101"/>
      <c r="N213" s="3101"/>
      <c r="O213" s="3102"/>
    </row>
    <row r="214" spans="2:15" s="2445" customFormat="1" ht="30" hidden="1" customHeight="1">
      <c r="D214" s="888"/>
      <c r="E214" s="888"/>
      <c r="F214" s="3103" t="s">
        <v>2196</v>
      </c>
      <c r="G214" s="1162" t="s">
        <v>3934</v>
      </c>
      <c r="H214" s="3098"/>
      <c r="I214" s="3098"/>
      <c r="J214" s="3098"/>
      <c r="K214" s="3103" t="s">
        <v>2196</v>
      </c>
      <c r="L214" s="1161" t="s">
        <v>3935</v>
      </c>
      <c r="M214" s="3098"/>
      <c r="N214" s="3098"/>
      <c r="O214" s="3104"/>
    </row>
    <row r="215" spans="2:15" s="2445" customFormat="1" ht="30" hidden="1" customHeight="1">
      <c r="D215" s="888"/>
      <c r="E215" s="888"/>
      <c r="F215" s="3105" t="s">
        <v>2196</v>
      </c>
      <c r="G215" s="1165" t="s">
        <v>3936</v>
      </c>
      <c r="H215" s="3040"/>
      <c r="I215" s="3040"/>
      <c r="J215" s="3040"/>
      <c r="K215" s="3105"/>
      <c r="L215" s="3777" t="s">
        <v>3937</v>
      </c>
      <c r="M215" s="4050"/>
      <c r="N215" s="4050"/>
      <c r="O215" s="4051"/>
    </row>
    <row r="216" spans="2:15" s="2445" customFormat="1" ht="30" hidden="1" customHeight="1">
      <c r="D216" s="888"/>
      <c r="E216" s="888"/>
      <c r="F216" s="3105" t="s">
        <v>2196</v>
      </c>
      <c r="G216" s="1165" t="s">
        <v>3938</v>
      </c>
      <c r="H216" s="3040"/>
      <c r="I216" s="3040"/>
      <c r="J216" s="3040"/>
      <c r="K216" s="3105" t="s">
        <v>2196</v>
      </c>
      <c r="L216" s="3777" t="s">
        <v>3939</v>
      </c>
      <c r="M216" s="4050"/>
      <c r="N216" s="4050"/>
      <c r="O216" s="4051"/>
    </row>
    <row r="217" spans="2:15" s="2445" customFormat="1" ht="30" hidden="1" customHeight="1">
      <c r="D217" s="888"/>
      <c r="E217" s="888"/>
      <c r="F217" s="3105" t="s">
        <v>2196</v>
      </c>
      <c r="G217" s="1165" t="s">
        <v>3940</v>
      </c>
      <c r="H217" s="3040"/>
      <c r="I217" s="3040"/>
      <c r="J217" s="3040"/>
      <c r="K217" s="3105" t="s">
        <v>2196</v>
      </c>
      <c r="L217" s="3777" t="s">
        <v>3941</v>
      </c>
      <c r="M217" s="4050"/>
      <c r="N217" s="4050"/>
      <c r="O217" s="4051"/>
    </row>
    <row r="218" spans="2:15" s="2445" customFormat="1" ht="15.75" hidden="1">
      <c r="D218" s="888"/>
      <c r="E218" s="888"/>
      <c r="F218" s="3105"/>
      <c r="G218" s="1165" t="s">
        <v>3942</v>
      </c>
      <c r="H218" s="3040"/>
      <c r="I218" s="3040"/>
      <c r="J218" s="3040"/>
      <c r="K218" s="4078"/>
      <c r="L218" s="3106" t="s">
        <v>3943</v>
      </c>
      <c r="M218" s="3092"/>
      <c r="N218" s="3092"/>
      <c r="O218" s="3107"/>
    </row>
    <row r="219" spans="2:15" s="2445" customFormat="1" ht="23.25" hidden="1" customHeight="1" thickBot="1">
      <c r="D219" s="888"/>
      <c r="E219" s="888"/>
      <c r="F219" s="3105"/>
      <c r="G219" s="1165" t="s">
        <v>3944</v>
      </c>
      <c r="H219" s="3040"/>
      <c r="I219" s="3040"/>
      <c r="J219" s="3040"/>
      <c r="K219" s="4079"/>
      <c r="L219" s="4080"/>
      <c r="M219" s="4081"/>
      <c r="N219" s="4081"/>
      <c r="O219" s="4082"/>
    </row>
    <row r="220" spans="2:15" s="2445" customFormat="1" ht="15.75" hidden="1">
      <c r="B220" s="1616"/>
      <c r="C220" s="1616"/>
      <c r="D220" s="888"/>
      <c r="E220" s="888"/>
      <c r="F220" s="3108"/>
      <c r="G220" s="1165" t="s">
        <v>3945</v>
      </c>
      <c r="H220" s="3040"/>
      <c r="I220" s="3040"/>
      <c r="J220" s="3109"/>
      <c r="K220" s="2122" t="s">
        <v>32</v>
      </c>
      <c r="L220" s="2121">
        <f>COUNTIF(K214:K219,$S$3)</f>
        <v>3</v>
      </c>
      <c r="M220" s="3043"/>
      <c r="N220" s="3043"/>
      <c r="O220" s="3043"/>
    </row>
    <row r="221" spans="2:15" s="2445" customFormat="1" ht="16.5" hidden="1" customHeight="1">
      <c r="B221" s="1616"/>
      <c r="C221" s="1616"/>
      <c r="D221" s="888"/>
      <c r="E221" s="888"/>
      <c r="F221" s="4078"/>
      <c r="G221" s="3106" t="s">
        <v>3946</v>
      </c>
      <c r="H221" s="3092"/>
      <c r="I221" s="3092"/>
      <c r="J221" s="3107"/>
    </row>
    <row r="222" spans="2:15" s="2445" customFormat="1" ht="30" hidden="1" customHeight="1" thickBot="1">
      <c r="B222" s="1616"/>
      <c r="C222" s="1616"/>
      <c r="D222" s="888"/>
      <c r="E222" s="888"/>
      <c r="F222" s="4079"/>
      <c r="G222" s="4080"/>
      <c r="H222" s="4081"/>
      <c r="I222" s="4081"/>
      <c r="J222" s="4082"/>
    </row>
    <row r="223" spans="2:15" s="2445" customFormat="1" ht="15.75" hidden="1">
      <c r="B223" s="1616"/>
      <c r="C223" s="1616"/>
      <c r="D223" s="888"/>
      <c r="E223" s="888"/>
      <c r="F223" s="2122" t="s">
        <v>32</v>
      </c>
      <c r="G223" s="2121">
        <f>COUNTIF(F214:F222,$S$3)</f>
        <v>4</v>
      </c>
      <c r="H223" s="3043"/>
      <c r="I223" s="3043"/>
      <c r="J223" s="3043"/>
    </row>
    <row r="224" spans="2:15" s="2445" customFormat="1" ht="15.75" hidden="1">
      <c r="B224" s="1616"/>
      <c r="C224" s="1616"/>
      <c r="D224" s="888"/>
      <c r="E224" s="888"/>
      <c r="F224" s="888"/>
      <c r="G224" s="888"/>
      <c r="H224" s="888"/>
      <c r="I224" s="888"/>
      <c r="J224" s="888"/>
      <c r="K224" s="888"/>
      <c r="L224" s="1436"/>
      <c r="M224" s="888"/>
      <c r="N224" s="888"/>
      <c r="O224" s="888"/>
    </row>
    <row r="225" spans="2:15" s="2445" customFormat="1" ht="15.75" hidden="1">
      <c r="B225" s="1616"/>
      <c r="C225" s="1616"/>
      <c r="D225" s="1311">
        <v>2.7</v>
      </c>
      <c r="E225" s="895" t="s">
        <v>3947</v>
      </c>
      <c r="F225" s="895"/>
      <c r="G225" s="1402"/>
      <c r="H225" s="1403"/>
      <c r="I225" s="1403"/>
      <c r="J225" s="979" t="str">
        <f>IF(OR(F227=0,J226=0),$R$3,"")</f>
        <v>&lt;評価しない&gt;</v>
      </c>
      <c r="K225" s="1404"/>
      <c r="L225" s="1405"/>
      <c r="M225" s="892"/>
      <c r="N225" s="892"/>
      <c r="O225" s="892"/>
    </row>
    <row r="226" spans="2:15" s="2445" customFormat="1" ht="15" hidden="1" thickBot="1">
      <c r="B226" s="1616"/>
      <c r="C226" s="1616"/>
      <c r="D226" s="1375"/>
      <c r="E226" s="1375"/>
      <c r="F226" s="1045"/>
      <c r="G226" s="904"/>
      <c r="H226" s="905"/>
      <c r="I226" s="906" t="s">
        <v>1121</v>
      </c>
      <c r="J226" s="907">
        <f>重み!M165</f>
        <v>0</v>
      </c>
      <c r="K226" s="1046"/>
      <c r="L226" s="1046"/>
      <c r="M226" s="1046"/>
      <c r="N226" s="1046"/>
      <c r="O226" s="1011"/>
    </row>
    <row r="227" spans="2:15" s="2445" customFormat="1" ht="16.5" hidden="1" thickBot="1">
      <c r="B227" s="3093" t="s">
        <v>3345</v>
      </c>
      <c r="D227" s="888"/>
      <c r="E227" s="1041"/>
      <c r="F227" s="910">
        <f>IF(H233=$T$4,F233,IF(H242&lt;1,2,IF(H242=1,3,IF(H242=2,4,5))))</f>
        <v>5</v>
      </c>
      <c r="G227" s="3110" t="s">
        <v>390</v>
      </c>
      <c r="H227" s="997"/>
      <c r="I227" s="997"/>
      <c r="J227" s="997"/>
      <c r="K227" s="997"/>
      <c r="L227" s="3111"/>
      <c r="M227" s="997"/>
      <c r="N227" s="997"/>
      <c r="O227" s="1011"/>
    </row>
    <row r="228" spans="2:15" s="2445" customFormat="1" ht="15.75" hidden="1">
      <c r="B228" s="1">
        <v>1</v>
      </c>
      <c r="C228" s="1">
        <v>1</v>
      </c>
      <c r="D228" s="888"/>
      <c r="E228" s="1041"/>
      <c r="F228" s="3095" t="str">
        <f>IF(F227=$S$16,$T$10,IF(ROUNDDOWN(F227,0)=$S$10,$U$10,$T$10))</f>
        <v>　レベル　1</v>
      </c>
      <c r="G228" s="1149" t="s">
        <v>1788</v>
      </c>
      <c r="H228" s="1150"/>
      <c r="I228" s="1150"/>
      <c r="J228" s="1150"/>
      <c r="K228" s="1150"/>
      <c r="L228" s="3112"/>
      <c r="M228" s="1150"/>
      <c r="N228" s="1150"/>
      <c r="O228" s="1151"/>
    </row>
    <row r="229" spans="2:15" s="2445" customFormat="1" ht="15.75" hidden="1">
      <c r="B229" s="1">
        <v>2</v>
      </c>
      <c r="C229" s="1">
        <v>2</v>
      </c>
      <c r="D229" s="888"/>
      <c r="E229" s="1041"/>
      <c r="F229" s="3096" t="str">
        <f>IF(F227=$S$16,$T$11,IF(ROUNDDOWN(F227,0)=$S$11,$U$11,$T$11))</f>
        <v>　レベル　2</v>
      </c>
      <c r="G229" s="1152" t="s">
        <v>652</v>
      </c>
      <c r="H229" s="3090"/>
      <c r="I229" s="3090"/>
      <c r="J229" s="3090"/>
      <c r="K229" s="3090"/>
      <c r="L229" s="3113"/>
      <c r="M229" s="3090"/>
      <c r="N229" s="3090"/>
      <c r="O229" s="3091"/>
    </row>
    <row r="230" spans="2:15" s="2445" customFormat="1" ht="15.75" hidden="1">
      <c r="B230" s="1">
        <v>3</v>
      </c>
      <c r="C230" s="1">
        <v>3</v>
      </c>
      <c r="D230" s="888"/>
      <c r="E230" s="1041"/>
      <c r="F230" s="3096" t="str">
        <f>IF(F227=$S$16,$T$12,IF(ROUNDDOWN(F227,0)=$S$12,$U$12,$T$12))</f>
        <v>　レベル　3</v>
      </c>
      <c r="G230" s="1152" t="s">
        <v>3929</v>
      </c>
      <c r="H230" s="3090"/>
      <c r="I230" s="3090"/>
      <c r="J230" s="3090"/>
      <c r="K230" s="3090"/>
      <c r="L230" s="3113"/>
      <c r="M230" s="3090"/>
      <c r="N230" s="3090"/>
      <c r="O230" s="3091"/>
    </row>
    <row r="231" spans="2:15" s="2445" customFormat="1" ht="15.75" hidden="1">
      <c r="B231" s="1">
        <v>4</v>
      </c>
      <c r="C231" s="1">
        <v>4</v>
      </c>
      <c r="D231" s="888"/>
      <c r="E231" s="1041"/>
      <c r="F231" s="3096" t="str">
        <f>IF(F227=$S$16,$T$13,IF(ROUNDDOWN(F227,0)=$S$13,$U$13,$T$13))</f>
        <v>　レベル　4</v>
      </c>
      <c r="G231" s="1152" t="s">
        <v>1479</v>
      </c>
      <c r="H231" s="3090"/>
      <c r="I231" s="3090"/>
      <c r="J231" s="3090"/>
      <c r="K231" s="3090"/>
      <c r="L231" s="3113"/>
      <c r="M231" s="3090"/>
      <c r="N231" s="3090"/>
      <c r="O231" s="3091"/>
    </row>
    <row r="232" spans="2:15" s="2445" customFormat="1" ht="16.5" hidden="1" thickBot="1">
      <c r="B232" s="1">
        <v>5</v>
      </c>
      <c r="C232" s="1">
        <v>5</v>
      </c>
      <c r="D232" s="888"/>
      <c r="E232" s="1041"/>
      <c r="F232" s="3097" t="str">
        <f>IF(F227=$S$16,$T$14,IF(ROUNDDOWN(F227,0)=$S$14,$U$14,$T$14))</f>
        <v>■レベル　5</v>
      </c>
      <c r="G232" s="1155" t="s">
        <v>3932</v>
      </c>
      <c r="H232" s="1156"/>
      <c r="I232" s="1156"/>
      <c r="J232" s="1156"/>
      <c r="K232" s="1156"/>
      <c r="L232" s="3114"/>
      <c r="M232" s="1156"/>
      <c r="N232" s="1156"/>
      <c r="O232" s="1157"/>
    </row>
    <row r="233" spans="2:15" s="2445" customFormat="1" ht="16.5" hidden="1" thickBot="1">
      <c r="B233" s="940">
        <v>0</v>
      </c>
      <c r="C233" s="940">
        <v>0</v>
      </c>
      <c r="D233" s="1311"/>
      <c r="E233" s="895"/>
      <c r="F233" s="910">
        <v>0</v>
      </c>
      <c r="G233" s="1138" t="s">
        <v>2193</v>
      </c>
      <c r="H233" s="3089" t="s">
        <v>3822</v>
      </c>
      <c r="J233" s="1214"/>
      <c r="K233" s="896"/>
      <c r="L233" s="1374"/>
      <c r="M233" s="896"/>
      <c r="N233" s="896"/>
      <c r="O233" s="896"/>
    </row>
    <row r="234" spans="2:15" s="2445" customFormat="1" ht="15.75" hidden="1">
      <c r="D234" s="888"/>
      <c r="E234" s="888"/>
      <c r="G234" s="3100" t="s">
        <v>2203</v>
      </c>
      <c r="K234" s="888"/>
      <c r="L234" s="1436"/>
      <c r="M234" s="888"/>
      <c r="N234" s="888"/>
      <c r="O234" s="888"/>
    </row>
    <row r="235" spans="2:15" s="2445" customFormat="1" ht="16.5" hidden="1" thickBot="1">
      <c r="D235" s="888"/>
      <c r="E235" s="888"/>
      <c r="G235" s="2424" t="s">
        <v>952</v>
      </c>
      <c r="H235" s="1334" t="s">
        <v>3933</v>
      </c>
      <c r="I235" s="3101"/>
      <c r="J235" s="3101"/>
      <c r="K235" s="3101"/>
      <c r="L235" s="3101"/>
      <c r="M235" s="3101"/>
      <c r="N235" s="3101"/>
      <c r="O235" s="3102"/>
    </row>
    <row r="236" spans="2:15" s="2445" customFormat="1" ht="15.75" hidden="1">
      <c r="D236" s="888"/>
      <c r="E236" s="888"/>
      <c r="G236" s="3103" t="s">
        <v>2196</v>
      </c>
      <c r="H236" s="1162" t="s">
        <v>3948</v>
      </c>
      <c r="I236" s="3098"/>
      <c r="J236" s="3098"/>
      <c r="K236" s="3098"/>
      <c r="L236" s="3098"/>
      <c r="M236" s="3098"/>
      <c r="N236" s="3098"/>
      <c r="O236" s="3104"/>
    </row>
    <row r="237" spans="2:15" s="2445" customFormat="1" ht="15.75" hidden="1">
      <c r="D237" s="888"/>
      <c r="E237" s="888"/>
      <c r="G237" s="3105" t="s">
        <v>2196</v>
      </c>
      <c r="H237" s="1165" t="s">
        <v>3949</v>
      </c>
      <c r="I237" s="3040"/>
      <c r="J237" s="3040"/>
      <c r="K237" s="3040"/>
      <c r="L237" s="3040"/>
      <c r="M237" s="3040"/>
      <c r="N237" s="3040"/>
      <c r="O237" s="3109"/>
    </row>
    <row r="238" spans="2:15" s="2445" customFormat="1" ht="15.75" hidden="1">
      <c r="D238" s="888"/>
      <c r="E238" s="888"/>
      <c r="G238" s="3105"/>
      <c r="H238" s="1165" t="s">
        <v>3950</v>
      </c>
      <c r="I238" s="3040"/>
      <c r="J238" s="3040"/>
      <c r="K238" s="3040"/>
      <c r="L238" s="3040"/>
      <c r="M238" s="3040"/>
      <c r="N238" s="3040"/>
      <c r="O238" s="3109"/>
    </row>
    <row r="239" spans="2:15" s="2445" customFormat="1" ht="15.75" hidden="1">
      <c r="D239" s="888"/>
      <c r="E239" s="888"/>
      <c r="G239" s="3108"/>
      <c r="H239" s="1165" t="s">
        <v>3951</v>
      </c>
      <c r="I239" s="3040"/>
      <c r="J239" s="3040"/>
      <c r="K239" s="3040"/>
      <c r="L239" s="3040"/>
      <c r="M239" s="3040"/>
      <c r="N239" s="3040"/>
      <c r="O239" s="3109"/>
    </row>
    <row r="240" spans="2:15" s="2445" customFormat="1" ht="15.75" hidden="1">
      <c r="D240" s="888"/>
      <c r="E240" s="888"/>
      <c r="G240" s="4078" t="s">
        <v>2196</v>
      </c>
      <c r="H240" s="3115" t="s">
        <v>3952</v>
      </c>
      <c r="I240" s="3092"/>
      <c r="J240" s="3092"/>
      <c r="K240" s="3092"/>
      <c r="L240" s="3092"/>
      <c r="M240" s="3092"/>
      <c r="N240" s="3092"/>
      <c r="O240" s="3107"/>
    </row>
    <row r="241" spans="2:15" s="2445" customFormat="1" ht="16.5" hidden="1" thickBot="1">
      <c r="D241" s="888"/>
      <c r="E241" s="888"/>
      <c r="G241" s="4079"/>
      <c r="H241" s="4083"/>
      <c r="I241" s="4084"/>
      <c r="J241" s="4084"/>
      <c r="K241" s="4084"/>
      <c r="L241" s="4084"/>
      <c r="M241" s="4084"/>
      <c r="N241" s="4084"/>
      <c r="O241" s="4085"/>
    </row>
    <row r="242" spans="2:15" s="2445" customFormat="1" ht="15.75" hidden="1">
      <c r="D242" s="888"/>
      <c r="E242" s="888"/>
      <c r="G242" s="2122" t="s">
        <v>32</v>
      </c>
      <c r="H242" s="2121">
        <f>COUNTIF(G236:G240,$S$3)</f>
        <v>3</v>
      </c>
      <c r="I242" s="3043"/>
      <c r="J242" s="3043"/>
      <c r="K242" s="3043"/>
      <c r="L242" s="3043"/>
      <c r="M242" s="3043"/>
      <c r="N242" s="3043"/>
      <c r="O242" s="3043"/>
    </row>
    <row r="243" spans="2:15" s="2445" customFormat="1" ht="15.75" hidden="1">
      <c r="B243" s="1616"/>
      <c r="C243" s="1616"/>
      <c r="D243" s="888"/>
      <c r="E243" s="888"/>
      <c r="F243" s="888"/>
      <c r="G243" s="888"/>
      <c r="H243" s="888"/>
      <c r="I243" s="888"/>
      <c r="J243" s="888"/>
      <c r="K243" s="888"/>
      <c r="L243" s="1436"/>
      <c r="M243" s="888"/>
      <c r="N243" s="888"/>
      <c r="O243" s="888"/>
    </row>
    <row r="244" spans="2:15" ht="15.75">
      <c r="D244" s="888">
        <v>3</v>
      </c>
      <c r="E244" s="1022" t="s">
        <v>1060</v>
      </c>
      <c r="F244" s="888"/>
      <c r="G244" s="888"/>
      <c r="H244" s="888"/>
      <c r="I244" s="888"/>
      <c r="J244" s="888"/>
      <c r="K244" s="888"/>
      <c r="L244" s="1436"/>
      <c r="M244" s="888"/>
      <c r="N244" s="888"/>
      <c r="O244" s="888"/>
    </row>
    <row r="245" spans="2:15" ht="15.75">
      <c r="D245" s="1311">
        <v>3.1</v>
      </c>
      <c r="E245" s="895" t="s">
        <v>1061</v>
      </c>
      <c r="F245" s="895"/>
      <c r="G245" s="888"/>
      <c r="H245" s="888"/>
      <c r="I245" s="888"/>
      <c r="J245" s="979" t="str">
        <f>IF(OR(F247=0,J246=0),$R$3,"")</f>
        <v/>
      </c>
      <c r="K245" s="888"/>
      <c r="L245" s="1436"/>
      <c r="M245" s="888"/>
      <c r="N245" s="888"/>
      <c r="O245" s="888"/>
    </row>
    <row r="246" spans="2:15" ht="13.5" customHeight="1" thickBot="1">
      <c r="D246" s="1375"/>
      <c r="E246" s="1375"/>
      <c r="F246" s="1045"/>
      <c r="G246" s="904"/>
      <c r="H246" s="905"/>
      <c r="I246" s="906" t="s">
        <v>1121</v>
      </c>
      <c r="J246" s="907">
        <f>重み!M167</f>
        <v>0.3</v>
      </c>
      <c r="K246" s="1046"/>
      <c r="L246" s="1046"/>
      <c r="M246" s="1046"/>
      <c r="N246" s="1046"/>
      <c r="O246" s="916"/>
    </row>
    <row r="247" spans="2:15" ht="27.75" customHeight="1" thickBot="1">
      <c r="D247" s="888"/>
      <c r="E247" s="1041"/>
      <c r="F247" s="1276">
        <f>IF(H253=T4,F253,IF(K254=0,3,IF(K254=1,4,IF(K254=2,4,IF(K254=3,4,IF(K254&gt;=4,5))))))</f>
        <v>3</v>
      </c>
      <c r="G247" s="914" t="s">
        <v>390</v>
      </c>
      <c r="H247" s="915"/>
      <c r="I247" s="915"/>
      <c r="J247" s="915"/>
      <c r="K247" s="915"/>
      <c r="L247" s="1244"/>
      <c r="M247" s="915"/>
      <c r="N247" s="915"/>
      <c r="O247" s="916"/>
    </row>
    <row r="248" spans="2:15" ht="19.5" customHeight="1">
      <c r="B248" s="1" t="s">
        <v>3953</v>
      </c>
      <c r="C248" s="1">
        <v>1</v>
      </c>
      <c r="D248" s="888"/>
      <c r="E248" s="1041"/>
      <c r="F248" s="917" t="str">
        <f>IF(F247=$S$16,$T$10,IF(ROUNDDOWN(F247,0)=$S$10,$U$10,$T$10))</f>
        <v>　レベル　1</v>
      </c>
      <c r="G248" s="919" t="s">
        <v>1788</v>
      </c>
      <c r="H248" s="920"/>
      <c r="I248" s="920"/>
      <c r="J248" s="920"/>
      <c r="K248" s="920"/>
      <c r="L248" s="1245"/>
      <c r="M248" s="920"/>
      <c r="N248" s="920"/>
      <c r="O248" s="921"/>
    </row>
    <row r="249" spans="2:15" ht="19.5" customHeight="1">
      <c r="B249" s="1" t="s">
        <v>3953</v>
      </c>
      <c r="C249" s="1">
        <v>2</v>
      </c>
      <c r="D249" s="888"/>
      <c r="E249" s="1041"/>
      <c r="F249" s="922" t="str">
        <f>IF(F247=$S$16,$T$11,IF(ROUNDDOWN(F247,0)=$S$11,$U$11,$T$11))</f>
        <v>　レベル　2</v>
      </c>
      <c r="G249" s="926" t="s">
        <v>1788</v>
      </c>
      <c r="H249" s="927"/>
      <c r="I249" s="927"/>
      <c r="J249" s="927"/>
      <c r="K249" s="927"/>
      <c r="L249" s="1246"/>
      <c r="M249" s="927"/>
      <c r="N249" s="927"/>
      <c r="O249" s="928"/>
    </row>
    <row r="250" spans="2:15" ht="19.5" customHeight="1">
      <c r="B250" s="1">
        <v>3</v>
      </c>
      <c r="C250" s="1">
        <v>3</v>
      </c>
      <c r="D250" s="888"/>
      <c r="E250" s="1041"/>
      <c r="F250" s="922" t="str">
        <f>IF(F247=$S$16,$T$12,IF(ROUNDDOWN(F247,0)=$S$12,$U$12,$T$12))</f>
        <v>■レベル　3</v>
      </c>
      <c r="G250" s="926" t="s">
        <v>171</v>
      </c>
      <c r="H250" s="927"/>
      <c r="I250" s="927"/>
      <c r="J250" s="927"/>
      <c r="K250" s="927"/>
      <c r="L250" s="1246"/>
      <c r="M250" s="927"/>
      <c r="N250" s="927"/>
      <c r="O250" s="928"/>
    </row>
    <row r="251" spans="2:15" ht="19.5" customHeight="1">
      <c r="B251" s="1">
        <v>4</v>
      </c>
      <c r="C251" s="1">
        <v>4</v>
      </c>
      <c r="D251" s="888"/>
      <c r="E251" s="1041"/>
      <c r="F251" s="922" t="str">
        <f>IF(F247=$S$16,$T$13,IF(ROUNDDOWN(F247,0)=$S$13,$U$13,$T$13))</f>
        <v>　レベル　4</v>
      </c>
      <c r="G251" s="926" t="s">
        <v>172</v>
      </c>
      <c r="H251" s="927"/>
      <c r="I251" s="927"/>
      <c r="J251" s="927"/>
      <c r="K251" s="927"/>
      <c r="L251" s="1246"/>
      <c r="M251" s="927"/>
      <c r="N251" s="927"/>
      <c r="O251" s="928"/>
    </row>
    <row r="252" spans="2:15" ht="19.5" customHeight="1" thickBot="1">
      <c r="B252" s="1">
        <v>5</v>
      </c>
      <c r="C252" s="1">
        <v>5</v>
      </c>
      <c r="D252" s="888"/>
      <c r="E252" s="1041"/>
      <c r="F252" s="933" t="str">
        <f>IF(F247=$S$16,$T$14,IF(ROUNDDOWN(F247,0)=$S$14,$U$14,$T$14))</f>
        <v>　レベル　5</v>
      </c>
      <c r="G252" s="937" t="s">
        <v>173</v>
      </c>
      <c r="H252" s="938"/>
      <c r="I252" s="938"/>
      <c r="J252" s="938"/>
      <c r="K252" s="938"/>
      <c r="L252" s="1247"/>
      <c r="M252" s="938"/>
      <c r="N252" s="938"/>
      <c r="O252" s="939"/>
    </row>
    <row r="253" spans="2:15" s="2445" customFormat="1" ht="19.5" customHeight="1" thickBot="1">
      <c r="B253" s="940">
        <v>0</v>
      </c>
      <c r="C253" s="940">
        <v>0</v>
      </c>
      <c r="D253" s="888"/>
      <c r="E253" s="888"/>
      <c r="F253" s="910">
        <v>0</v>
      </c>
      <c r="G253" s="1138" t="s">
        <v>2193</v>
      </c>
      <c r="H253" s="3089" t="s">
        <v>3822</v>
      </c>
      <c r="J253" s="888"/>
      <c r="K253" s="888"/>
      <c r="L253" s="888"/>
      <c r="M253" s="888"/>
      <c r="N253" s="888"/>
      <c r="O253" s="888"/>
    </row>
    <row r="254" spans="2:15" ht="21" customHeight="1" thickBot="1">
      <c r="D254" s="888"/>
      <c r="E254" s="889"/>
      <c r="F254" s="1266"/>
      <c r="G254" s="1447" t="s">
        <v>174</v>
      </c>
      <c r="H254" s="459"/>
      <c r="I254" s="459"/>
      <c r="J254" s="1444" t="s">
        <v>374</v>
      </c>
      <c r="K254" s="1445">
        <f>COUNTIF(G257:G276,"無")</f>
        <v>0</v>
      </c>
      <c r="L254" s="1448" t="s">
        <v>1772</v>
      </c>
      <c r="M254" s="889"/>
      <c r="N254" s="889"/>
      <c r="O254" s="889"/>
    </row>
    <row r="255" spans="2:15" ht="15.75">
      <c r="D255" s="888"/>
      <c r="E255" s="889"/>
      <c r="F255" s="1449"/>
      <c r="G255" s="4035" t="s">
        <v>175</v>
      </c>
      <c r="H255" s="1395" t="s">
        <v>176</v>
      </c>
      <c r="I255" s="1450"/>
      <c r="J255" s="1395" t="s">
        <v>2282</v>
      </c>
      <c r="K255" s="1451"/>
      <c r="L255" s="1452"/>
      <c r="M255" s="886"/>
      <c r="N255" s="1211"/>
      <c r="O255" s="1211"/>
    </row>
    <row r="256" spans="2:15" ht="11.25" customHeight="1">
      <c r="D256" s="888"/>
      <c r="E256" s="889"/>
      <c r="F256" s="1453"/>
      <c r="G256" s="4036"/>
      <c r="H256" s="1341"/>
      <c r="I256" s="1454"/>
      <c r="J256" s="1455"/>
      <c r="K256" s="1456"/>
      <c r="L256" s="1457"/>
      <c r="M256" s="886"/>
      <c r="N256" s="1434"/>
      <c r="O256" s="1434"/>
    </row>
    <row r="257" spans="4:15" ht="15" customHeight="1">
      <c r="D257" s="888"/>
      <c r="E257" s="889"/>
      <c r="F257" s="1458"/>
      <c r="G257" s="1459"/>
      <c r="H257" s="1460" t="s">
        <v>2283</v>
      </c>
      <c r="I257" s="1461"/>
      <c r="J257" s="1460" t="s">
        <v>2284</v>
      </c>
      <c r="K257" s="1462"/>
      <c r="L257" s="1463"/>
      <c r="M257" s="886"/>
      <c r="N257" s="1081"/>
      <c r="O257" s="1081"/>
    </row>
    <row r="258" spans="4:15" ht="15" customHeight="1">
      <c r="D258" s="888"/>
      <c r="E258" s="889"/>
      <c r="F258" s="1464"/>
      <c r="G258" s="1465"/>
      <c r="H258" s="1466"/>
      <c r="I258" s="1467"/>
      <c r="J258" s="1468" t="s">
        <v>2285</v>
      </c>
      <c r="K258" s="1469"/>
      <c r="L258" s="1467"/>
      <c r="M258" s="886"/>
      <c r="N258" s="160"/>
      <c r="O258" s="160"/>
    </row>
    <row r="259" spans="4:15" ht="15" customHeight="1">
      <c r="D259" s="888"/>
      <c r="E259" s="889"/>
      <c r="F259" s="1470"/>
      <c r="G259" s="1465"/>
      <c r="H259" s="1466"/>
      <c r="I259" s="1467"/>
      <c r="J259" s="1468" t="s">
        <v>2286</v>
      </c>
      <c r="K259" s="1469"/>
      <c r="L259" s="1467"/>
      <c r="M259" s="886"/>
      <c r="N259" s="1471"/>
      <c r="O259" s="1471"/>
    </row>
    <row r="260" spans="4:15" ht="15" customHeight="1">
      <c r="D260" s="888"/>
      <c r="E260" s="889"/>
      <c r="F260" s="1464"/>
      <c r="G260" s="1472"/>
      <c r="H260" s="1473"/>
      <c r="I260" s="1474"/>
      <c r="J260" s="1473" t="s">
        <v>2287</v>
      </c>
      <c r="K260" s="1475"/>
      <c r="L260" s="1476"/>
      <c r="M260" s="886"/>
      <c r="N260" s="160"/>
      <c r="O260" s="160"/>
    </row>
    <row r="261" spans="4:15" ht="15" customHeight="1">
      <c r="D261" s="888"/>
      <c r="E261" s="889"/>
      <c r="F261" s="1464"/>
      <c r="G261" s="1459" t="s">
        <v>2195</v>
      </c>
      <c r="H261" s="1460" t="s">
        <v>2288</v>
      </c>
      <c r="I261" s="1461"/>
      <c r="J261" s="1460" t="s">
        <v>2289</v>
      </c>
      <c r="K261" s="1462"/>
      <c r="L261" s="1463"/>
      <c r="M261" s="886"/>
      <c r="N261" s="160"/>
      <c r="O261" s="160"/>
    </row>
    <row r="262" spans="4:15" ht="15" customHeight="1">
      <c r="D262" s="888"/>
      <c r="E262" s="889"/>
      <c r="F262" s="1464"/>
      <c r="G262" s="1465" t="s">
        <v>2195</v>
      </c>
      <c r="H262" s="1466"/>
      <c r="I262" s="1080"/>
      <c r="J262" s="1466" t="s">
        <v>2290</v>
      </c>
      <c r="K262" s="1477"/>
      <c r="L262" s="1467"/>
      <c r="M262" s="886"/>
      <c r="N262" s="160"/>
      <c r="O262" s="160"/>
    </row>
    <row r="263" spans="4:15" ht="15" customHeight="1">
      <c r="D263" s="888"/>
      <c r="E263" s="889"/>
      <c r="F263" s="1464"/>
      <c r="G263" s="1465" t="s">
        <v>2195</v>
      </c>
      <c r="H263" s="1466"/>
      <c r="I263" s="1080"/>
      <c r="J263" s="1466" t="s">
        <v>2291</v>
      </c>
      <c r="K263" s="1477"/>
      <c r="L263" s="1467"/>
      <c r="M263" s="886"/>
      <c r="N263" s="160"/>
      <c r="O263" s="160"/>
    </row>
    <row r="264" spans="4:15" ht="15" customHeight="1">
      <c r="D264" s="888"/>
      <c r="E264" s="889"/>
      <c r="F264" s="1464"/>
      <c r="G264" s="1472" t="s">
        <v>2195</v>
      </c>
      <c r="H264" s="1473"/>
      <c r="I264" s="1474"/>
      <c r="J264" s="1473" t="s">
        <v>2292</v>
      </c>
      <c r="K264" s="1475"/>
      <c r="L264" s="1476"/>
      <c r="M264" s="886"/>
      <c r="N264" s="160"/>
      <c r="O264" s="160"/>
    </row>
    <row r="265" spans="4:15" ht="15" customHeight="1">
      <c r="D265" s="888"/>
      <c r="E265" s="889"/>
      <c r="F265" s="1478"/>
      <c r="G265" s="1459" t="s">
        <v>2195</v>
      </c>
      <c r="H265" s="1460" t="s">
        <v>2293</v>
      </c>
      <c r="I265" s="1461"/>
      <c r="J265" s="1460" t="s">
        <v>2294</v>
      </c>
      <c r="K265" s="1462"/>
      <c r="L265" s="1463"/>
      <c r="M265" s="886"/>
      <c r="N265" s="1479"/>
      <c r="O265" s="1479"/>
    </row>
    <row r="266" spans="4:15" ht="15" customHeight="1">
      <c r="D266" s="888"/>
      <c r="E266" s="889"/>
      <c r="F266" s="1470"/>
      <c r="G266" s="1472" t="s">
        <v>2195</v>
      </c>
      <c r="H266" s="1473"/>
      <c r="I266" s="1474"/>
      <c r="J266" s="1473" t="s">
        <v>1958</v>
      </c>
      <c r="K266" s="1475"/>
      <c r="L266" s="1476"/>
      <c r="M266" s="886"/>
      <c r="N266" s="1471"/>
      <c r="O266" s="1471"/>
    </row>
    <row r="267" spans="4:15" ht="15" customHeight="1">
      <c r="D267" s="888"/>
      <c r="E267" s="889"/>
      <c r="F267" s="1464"/>
      <c r="G267" s="1459" t="s">
        <v>2195</v>
      </c>
      <c r="H267" s="1460" t="s">
        <v>1959</v>
      </c>
      <c r="I267" s="1461"/>
      <c r="J267" s="1460" t="s">
        <v>1960</v>
      </c>
      <c r="K267" s="1462"/>
      <c r="L267" s="1463"/>
      <c r="M267" s="886"/>
      <c r="N267" s="160"/>
      <c r="O267" s="160"/>
    </row>
    <row r="268" spans="4:15" ht="15" customHeight="1">
      <c r="D268" s="888"/>
      <c r="E268" s="889"/>
      <c r="F268" s="1464"/>
      <c r="G268" s="1465" t="s">
        <v>2195</v>
      </c>
      <c r="H268" s="1466"/>
      <c r="I268" s="1080"/>
      <c r="J268" s="1466" t="s">
        <v>1961</v>
      </c>
      <c r="K268" s="1477"/>
      <c r="L268" s="1467"/>
      <c r="M268" s="886"/>
      <c r="N268" s="160"/>
      <c r="O268" s="160"/>
    </row>
    <row r="269" spans="4:15" ht="15" customHeight="1">
      <c r="D269" s="888"/>
      <c r="E269" s="889"/>
      <c r="F269" s="1464"/>
      <c r="G269" s="1465" t="s">
        <v>2195</v>
      </c>
      <c r="H269" s="1466"/>
      <c r="I269" s="1080"/>
      <c r="J269" s="1466" t="s">
        <v>1962</v>
      </c>
      <c r="K269" s="1477"/>
      <c r="L269" s="1467"/>
      <c r="M269" s="886"/>
      <c r="N269" s="160"/>
      <c r="O269" s="160"/>
    </row>
    <row r="270" spans="4:15" ht="15" customHeight="1">
      <c r="D270" s="888"/>
      <c r="E270" s="889"/>
      <c r="F270" s="1464"/>
      <c r="G270" s="1472" t="s">
        <v>2195</v>
      </c>
      <c r="H270" s="1473"/>
      <c r="I270" s="1474"/>
      <c r="J270" s="1473" t="s">
        <v>1963</v>
      </c>
      <c r="K270" s="1475"/>
      <c r="L270" s="1476"/>
      <c r="M270" s="886"/>
      <c r="N270" s="160"/>
      <c r="O270" s="160"/>
    </row>
    <row r="271" spans="4:15" ht="15" customHeight="1">
      <c r="D271" s="888"/>
      <c r="E271" s="889"/>
      <c r="F271" s="1464"/>
      <c r="G271" s="1459" t="s">
        <v>2195</v>
      </c>
      <c r="H271" s="1460" t="s">
        <v>2277</v>
      </c>
      <c r="I271" s="1461"/>
      <c r="J271" s="1460" t="s">
        <v>2278</v>
      </c>
      <c r="K271" s="1462"/>
      <c r="L271" s="1463"/>
      <c r="M271" s="886"/>
      <c r="N271" s="160"/>
      <c r="O271" s="160"/>
    </row>
    <row r="272" spans="4:15" ht="15" customHeight="1">
      <c r="D272" s="888"/>
      <c r="E272" s="889"/>
      <c r="F272" s="1470"/>
      <c r="G272" s="1472" t="s">
        <v>2195</v>
      </c>
      <c r="H272" s="1473"/>
      <c r="I272" s="1474"/>
      <c r="J272" s="1473" t="s">
        <v>2279</v>
      </c>
      <c r="K272" s="1475"/>
      <c r="L272" s="1476"/>
      <c r="M272" s="886"/>
      <c r="N272" s="1471"/>
      <c r="O272" s="1471"/>
    </row>
    <row r="273" spans="2:15" ht="15" customHeight="1">
      <c r="D273" s="888"/>
      <c r="E273" s="889"/>
      <c r="F273" s="1464"/>
      <c r="G273" s="1459"/>
      <c r="H273" s="1480" t="s">
        <v>2280</v>
      </c>
      <c r="I273" s="1481"/>
      <c r="J273" s="1480" t="s">
        <v>1504</v>
      </c>
      <c r="K273" s="1482"/>
      <c r="L273" s="1481"/>
      <c r="M273" s="886"/>
      <c r="N273" s="160"/>
      <c r="O273" s="160"/>
    </row>
    <row r="274" spans="2:15" ht="15" customHeight="1">
      <c r="D274" s="888"/>
      <c r="E274" s="889"/>
      <c r="F274" s="1464"/>
      <c r="G274" s="1465"/>
      <c r="H274" s="1466" t="s">
        <v>1505</v>
      </c>
      <c r="I274" s="1080"/>
      <c r="J274" s="1466" t="s">
        <v>1506</v>
      </c>
      <c r="K274" s="1477"/>
      <c r="L274" s="1080"/>
      <c r="M274" s="886"/>
      <c r="N274" s="160"/>
      <c r="O274" s="160"/>
    </row>
    <row r="275" spans="2:15" ht="15" customHeight="1">
      <c r="D275" s="888"/>
      <c r="E275" s="889"/>
      <c r="F275" s="1464"/>
      <c r="G275" s="1465"/>
      <c r="H275" s="1466" t="s">
        <v>1507</v>
      </c>
      <c r="I275" s="1080"/>
      <c r="J275" s="1466" t="s">
        <v>2269</v>
      </c>
      <c r="K275" s="1483"/>
      <c r="L275" s="1484"/>
      <c r="M275" s="886"/>
      <c r="N275" s="160"/>
      <c r="O275" s="160"/>
    </row>
    <row r="276" spans="2:15" ht="15.75" customHeight="1">
      <c r="D276" s="888"/>
      <c r="E276" s="889"/>
      <c r="F276" s="1470"/>
      <c r="G276" s="1485"/>
      <c r="H276" s="1486"/>
      <c r="I276" s="1487"/>
      <c r="J276" s="1486"/>
      <c r="K276" s="1475"/>
      <c r="L276" s="1474"/>
      <c r="M276" s="886"/>
      <c r="N276" s="1471"/>
      <c r="O276" s="1471"/>
    </row>
    <row r="277" spans="2:15">
      <c r="D277" s="1119"/>
      <c r="E277" s="1119"/>
      <c r="F277" s="1119"/>
      <c r="G277" s="1488"/>
      <c r="H277" s="1488"/>
      <c r="I277" s="1488"/>
      <c r="J277" s="1488"/>
      <c r="K277" s="1488"/>
      <c r="L277" s="1489"/>
      <c r="M277" s="1119"/>
      <c r="N277" s="1119"/>
      <c r="O277" s="1119"/>
    </row>
    <row r="278" spans="2:15" ht="13.5" customHeight="1">
      <c r="D278" s="1311">
        <v>3.2</v>
      </c>
      <c r="E278" s="895" t="s">
        <v>1062</v>
      </c>
      <c r="F278" s="895"/>
      <c r="G278" s="1124"/>
      <c r="H278" s="896"/>
      <c r="I278" s="896"/>
      <c r="J278" s="896"/>
      <c r="K278" s="1124"/>
      <c r="L278" s="1374"/>
      <c r="M278" s="896"/>
      <c r="N278" s="1124"/>
      <c r="O278" s="896"/>
    </row>
    <row r="279" spans="2:15" ht="13.5" customHeight="1">
      <c r="D279" s="1311"/>
      <c r="E279" s="895"/>
      <c r="F279" s="1044" t="s">
        <v>2270</v>
      </c>
      <c r="G279" s="1124"/>
      <c r="H279" s="896"/>
      <c r="I279" s="896"/>
      <c r="J279" s="979" t="str">
        <f>IF(OR(F281=0,J280=0),$R$3,"")</f>
        <v/>
      </c>
      <c r="K279" s="1044" t="s">
        <v>2271</v>
      </c>
      <c r="L279" s="1374"/>
      <c r="M279" s="896"/>
      <c r="N279" s="1124"/>
      <c r="O279" s="979" t="str">
        <f>IF(OR(K281=0,O280=0),$R$3,"")</f>
        <v/>
      </c>
    </row>
    <row r="280" spans="2:15" ht="13.5" customHeight="1" thickBot="1">
      <c r="D280" s="888"/>
      <c r="E280" s="1041"/>
      <c r="F280" s="903"/>
      <c r="G280" s="904"/>
      <c r="H280" s="905"/>
      <c r="I280" s="906" t="s">
        <v>1121</v>
      </c>
      <c r="J280" s="909">
        <f>重み!M169</f>
        <v>0.33333333333333337</v>
      </c>
      <c r="K280" s="903"/>
      <c r="L280" s="904"/>
      <c r="M280" s="905"/>
      <c r="N280" s="906" t="s">
        <v>1121</v>
      </c>
      <c r="O280" s="909">
        <f>重み!M170</f>
        <v>0.33333333333333337</v>
      </c>
    </row>
    <row r="281" spans="2:15" ht="27" customHeight="1" thickBot="1">
      <c r="D281" s="888"/>
      <c r="E281" s="1041"/>
      <c r="F281" s="910">
        <v>4</v>
      </c>
      <c r="G281" s="914" t="s">
        <v>390</v>
      </c>
      <c r="H281" s="915"/>
      <c r="I281" s="915"/>
      <c r="J281" s="1026" t="s">
        <v>1092</v>
      </c>
      <c r="K281" s="910">
        <v>3</v>
      </c>
      <c r="L281" s="1490" t="s">
        <v>390</v>
      </c>
      <c r="M281" s="915"/>
      <c r="N281" s="915"/>
      <c r="O281" s="916"/>
    </row>
    <row r="282" spans="2:15" ht="33" customHeight="1">
      <c r="B282" s="1">
        <v>1</v>
      </c>
      <c r="C282" s="1491">
        <v>1</v>
      </c>
      <c r="D282" s="888"/>
      <c r="E282" s="1041"/>
      <c r="F282" s="917" t="str">
        <f>IF(F281=$S$16,$T$10,IF(ROUNDDOWN(F281,0)=$S$10,$U$10,$T$10))</f>
        <v>　レベル　1</v>
      </c>
      <c r="G282" s="3678" t="s">
        <v>2272</v>
      </c>
      <c r="H282" s="3698"/>
      <c r="I282" s="3684"/>
      <c r="J282" s="4027" t="s">
        <v>3006</v>
      </c>
      <c r="K282" s="917" t="str">
        <f>IF(K281=$S$16,$T$10,IF(ROUNDDOWN(K281,0)=$S$10,$U$10,$T$10))</f>
        <v>　レベル　1</v>
      </c>
      <c r="L282" s="919" t="s">
        <v>2273</v>
      </c>
      <c r="M282" s="920"/>
      <c r="N282" s="920"/>
      <c r="O282" s="921"/>
    </row>
    <row r="283" spans="2:15" ht="18.75" customHeight="1">
      <c r="B283" s="1">
        <v>2</v>
      </c>
      <c r="C283" s="1491">
        <v>2</v>
      </c>
      <c r="D283" s="888"/>
      <c r="E283" s="1041"/>
      <c r="F283" s="922" t="str">
        <f>IF(F281=$S$16,$T$11,IF(ROUNDDOWN(F281,0)=$S$11,$U$11,$T$11))</f>
        <v>　レベル　2</v>
      </c>
      <c r="G283" s="926" t="s">
        <v>2274</v>
      </c>
      <c r="H283" s="927"/>
      <c r="I283" s="927"/>
      <c r="J283" s="4028"/>
      <c r="K283" s="922" t="str">
        <f>IF(K281=$S$16,$T$11,IF(ROUNDDOWN(K281,0)=$S$11,$U$11,$T$11))</f>
        <v>　レベル　2</v>
      </c>
      <c r="L283" s="926" t="s">
        <v>2275</v>
      </c>
      <c r="M283" s="927"/>
      <c r="N283" s="927"/>
      <c r="O283" s="928"/>
    </row>
    <row r="284" spans="2:15" ht="18.75" customHeight="1">
      <c r="B284" s="1" t="s">
        <v>943</v>
      </c>
      <c r="C284" s="1">
        <v>3</v>
      </c>
      <c r="D284" s="888"/>
      <c r="E284" s="1041"/>
      <c r="F284" s="922" t="str">
        <f>IF(F281=$S$16,$T$12,IF(ROUNDDOWN(F281,0)=$S$12,$U$12,$T$12))</f>
        <v>　レベル　3</v>
      </c>
      <c r="G284" s="926" t="s">
        <v>1788</v>
      </c>
      <c r="H284" s="927"/>
      <c r="I284" s="927"/>
      <c r="J284" s="4028"/>
      <c r="K284" s="922" t="str">
        <f>IF(K281=$S$16,$T$12,IF(ROUNDDOWN(K281,0)=$S$12,$U$12,$T$12))</f>
        <v>■レベル　3</v>
      </c>
      <c r="L284" s="926" t="s">
        <v>2276</v>
      </c>
      <c r="M284" s="927"/>
      <c r="N284" s="927"/>
      <c r="O284" s="928"/>
    </row>
    <row r="285" spans="2:15" ht="42.75" customHeight="1">
      <c r="B285" s="1">
        <v>4</v>
      </c>
      <c r="C285" s="1">
        <v>4</v>
      </c>
      <c r="D285" s="888"/>
      <c r="E285" s="1041"/>
      <c r="F285" s="922" t="str">
        <f>IF(F281=$S$16,$T$13,IF(ROUNDDOWN(F281,0)=$S$13,$U$13,$T$13))</f>
        <v>■レベル　4</v>
      </c>
      <c r="G285" s="3682" t="s">
        <v>3007</v>
      </c>
      <c r="H285" s="3699"/>
      <c r="I285" s="3726"/>
      <c r="J285" s="4028"/>
      <c r="K285" s="922" t="str">
        <f>IF(K281=$S$16,$T$13,IF(ROUNDDOWN(K281,0)=$S$13,$U$13,$T$13))</f>
        <v>　レベル　4</v>
      </c>
      <c r="L285" s="3682" t="s">
        <v>3008</v>
      </c>
      <c r="M285" s="3699"/>
      <c r="N285" s="3699"/>
      <c r="O285" s="3726"/>
    </row>
    <row r="286" spans="2:15" ht="45.75" customHeight="1">
      <c r="B286" s="1" t="s">
        <v>944</v>
      </c>
      <c r="C286" s="1">
        <v>5</v>
      </c>
      <c r="D286" s="888"/>
      <c r="E286" s="1039"/>
      <c r="F286" s="933" t="str">
        <f>IF(F281=$S$16,$T$14,IF(ROUNDDOWN(F281,0)=$S$14,$U$14,$T$14))</f>
        <v>　レベル　5</v>
      </c>
      <c r="G286" s="937" t="s">
        <v>1788</v>
      </c>
      <c r="H286" s="938"/>
      <c r="I286" s="938"/>
      <c r="J286" s="4029"/>
      <c r="K286" s="933" t="str">
        <f>IF(K281=$S$16,$T$14,IF(ROUNDDOWN(K281,0)=$S$14,$U$14,$T$14))</f>
        <v>　レベル　5</v>
      </c>
      <c r="L286" s="3680" t="s">
        <v>2508</v>
      </c>
      <c r="M286" s="3704"/>
      <c r="N286" s="3704"/>
      <c r="O286" s="3710"/>
    </row>
    <row r="287" spans="2:15" ht="13.5" customHeight="1">
      <c r="B287" s="940">
        <v>0</v>
      </c>
      <c r="C287" s="940">
        <v>0</v>
      </c>
      <c r="D287" s="888"/>
      <c r="E287" s="1039"/>
      <c r="F287" s="1207"/>
      <c r="G287" s="1207"/>
      <c r="H287" s="1207"/>
      <c r="I287" s="1207"/>
      <c r="J287" s="1207"/>
      <c r="K287" s="1207"/>
      <c r="L287" s="1442"/>
      <c r="M287" s="1442"/>
      <c r="N287" s="1442"/>
      <c r="O287" s="1442"/>
    </row>
    <row r="288" spans="2:15" ht="13.5" customHeight="1">
      <c r="D288" s="888"/>
      <c r="E288" s="1039"/>
      <c r="F288" s="1044" t="s">
        <v>1751</v>
      </c>
      <c r="G288" s="1207"/>
      <c r="H288" s="1207"/>
      <c r="I288" s="1207"/>
      <c r="J288" s="979" t="str">
        <f>IF(OR(F290=0,J289=0),$R$3,"")</f>
        <v/>
      </c>
      <c r="K288" s="1207"/>
      <c r="L288" s="1442"/>
      <c r="M288" s="1442"/>
      <c r="N288" s="1442"/>
      <c r="O288" s="1442"/>
    </row>
    <row r="289" spans="2:15" ht="13.5" customHeight="1" thickBot="1">
      <c r="D289" s="888"/>
      <c r="E289" s="1039"/>
      <c r="F289" s="903"/>
      <c r="G289" s="904"/>
      <c r="H289" s="905"/>
      <c r="I289" s="906" t="s">
        <v>1121</v>
      </c>
      <c r="J289" s="909">
        <f>重み!M171</f>
        <v>0.33333333333333337</v>
      </c>
      <c r="K289" s="1207"/>
      <c r="L289" s="1442"/>
      <c r="M289" s="1442"/>
      <c r="N289" s="1442"/>
      <c r="O289" s="1442"/>
    </row>
    <row r="290" spans="2:15" ht="27.75" customHeight="1" thickBot="1">
      <c r="D290" s="888"/>
      <c r="E290" s="1039"/>
      <c r="F290" s="910">
        <v>3</v>
      </c>
      <c r="G290" s="914" t="s">
        <v>390</v>
      </c>
      <c r="H290" s="915"/>
      <c r="I290" s="915"/>
      <c r="J290" s="916"/>
      <c r="K290" s="1052" t="s">
        <v>1092</v>
      </c>
      <c r="L290" s="1442"/>
      <c r="M290" s="1442"/>
      <c r="N290" s="1442"/>
      <c r="O290" s="1442"/>
    </row>
    <row r="291" spans="2:15" ht="24.75" customHeight="1">
      <c r="B291" s="1" t="s">
        <v>2355</v>
      </c>
      <c r="C291" s="1">
        <v>1</v>
      </c>
      <c r="D291" s="888"/>
      <c r="E291" s="1039"/>
      <c r="F291" s="917" t="str">
        <f>IF(F290=$S$16,$T$10,IF(ROUNDDOWN(F290,0)=$S$10,$U$10,$T$10))</f>
        <v>　レベル　1</v>
      </c>
      <c r="G291" s="3678" t="s">
        <v>1788</v>
      </c>
      <c r="H291" s="4025"/>
      <c r="I291" s="4025"/>
      <c r="J291" s="4026"/>
      <c r="K291" s="4027" t="s">
        <v>3009</v>
      </c>
      <c r="L291" s="1442"/>
      <c r="M291" s="1442"/>
      <c r="N291" s="1442"/>
      <c r="O291" s="1442"/>
    </row>
    <row r="292" spans="2:15" ht="24.75" customHeight="1">
      <c r="B292" s="1">
        <v>2</v>
      </c>
      <c r="C292" s="1">
        <v>2</v>
      </c>
      <c r="D292" s="888"/>
      <c r="E292" s="1039"/>
      <c r="F292" s="922" t="str">
        <f>IF(F290=$S$16,$T$11,IF(ROUNDDOWN(F290,0)=$S$11,$U$11,$T$11))</f>
        <v>　レベル　2</v>
      </c>
      <c r="G292" s="3682" t="s">
        <v>1752</v>
      </c>
      <c r="H292" s="3705"/>
      <c r="I292" s="3705"/>
      <c r="J292" s="3706"/>
      <c r="K292" s="4028"/>
      <c r="L292" s="1442"/>
      <c r="M292" s="1442"/>
      <c r="N292" s="1442"/>
      <c r="O292" s="1442"/>
    </row>
    <row r="293" spans="2:15" ht="24.75" customHeight="1">
      <c r="B293" s="1">
        <v>3</v>
      </c>
      <c r="C293" s="1">
        <v>3</v>
      </c>
      <c r="D293" s="888"/>
      <c r="E293" s="1039"/>
      <c r="F293" s="922" t="str">
        <f>IF(F290=$S$16,$T$12,IF(ROUNDDOWN(F290,0)=$S$12,$U$12,$T$12))</f>
        <v>■レベル　3</v>
      </c>
      <c r="G293" s="3682" t="s">
        <v>1753</v>
      </c>
      <c r="H293" s="3705"/>
      <c r="I293" s="3705"/>
      <c r="J293" s="3706"/>
      <c r="K293" s="4028"/>
      <c r="L293" s="1442"/>
      <c r="M293" s="1442"/>
      <c r="N293" s="1442"/>
      <c r="O293" s="1442"/>
    </row>
    <row r="294" spans="2:15" ht="40.5" customHeight="1">
      <c r="B294" s="1">
        <v>4</v>
      </c>
      <c r="C294" s="1">
        <v>4</v>
      </c>
      <c r="D294" s="888"/>
      <c r="E294" s="1039"/>
      <c r="F294" s="922" t="str">
        <f>IF(F290=$S$16,$T$13,IF(ROUNDDOWN(F290,0)=$S$13,$U$13,$T$13))</f>
        <v>　レベル　4</v>
      </c>
      <c r="G294" s="3682" t="s">
        <v>3010</v>
      </c>
      <c r="H294" s="3705"/>
      <c r="I294" s="3705"/>
      <c r="J294" s="3706"/>
      <c r="K294" s="4028"/>
      <c r="L294" s="1442"/>
      <c r="M294" s="1442"/>
      <c r="N294" s="1442"/>
      <c r="O294" s="1442"/>
    </row>
    <row r="295" spans="2:15" ht="24.75" customHeight="1">
      <c r="B295" s="1" t="s">
        <v>2355</v>
      </c>
      <c r="C295" s="1">
        <v>5</v>
      </c>
      <c r="D295" s="888"/>
      <c r="E295" s="1039"/>
      <c r="F295" s="933" t="str">
        <f>IF(F290=$S$16,$T$14,IF(ROUNDDOWN(F290,0)=$S$14,$U$14,$T$14))</f>
        <v>　レベル　5</v>
      </c>
      <c r="G295" s="3680" t="s">
        <v>1788</v>
      </c>
      <c r="H295" s="3702"/>
      <c r="I295" s="3702"/>
      <c r="J295" s="3703"/>
      <c r="K295" s="4029"/>
      <c r="L295" s="1442"/>
      <c r="M295" s="1442"/>
      <c r="N295" s="1442"/>
      <c r="O295" s="1442"/>
    </row>
    <row r="296" spans="2:15" ht="13.5" customHeight="1">
      <c r="B296" s="940">
        <v>0</v>
      </c>
      <c r="C296" s="940">
        <v>0</v>
      </c>
      <c r="D296" s="888"/>
      <c r="E296" s="889"/>
      <c r="F296" s="1492" t="s">
        <v>1754</v>
      </c>
      <c r="G296" s="1493"/>
      <c r="H296" s="1493"/>
      <c r="I296" s="1493"/>
      <c r="J296" s="1493"/>
      <c r="K296" s="1493"/>
      <c r="L296" s="1494"/>
      <c r="M296" s="1442"/>
      <c r="N296" s="1442"/>
      <c r="O296" s="1442"/>
    </row>
    <row r="297" spans="2:15" ht="13.5" customHeight="1">
      <c r="D297" s="888"/>
      <c r="E297" s="889"/>
      <c r="F297" s="1495" t="s">
        <v>1755</v>
      </c>
      <c r="G297" s="1496"/>
      <c r="H297" s="1497"/>
      <c r="I297" s="1498" t="s">
        <v>1756</v>
      </c>
      <c r="J297" s="1499"/>
      <c r="K297" s="1499"/>
      <c r="L297" s="1500"/>
      <c r="M297" s="1499"/>
      <c r="N297" s="1499"/>
      <c r="O297" s="1501"/>
    </row>
    <row r="298" spans="2:15" ht="13.5" customHeight="1">
      <c r="D298" s="888"/>
      <c r="E298" s="889"/>
      <c r="F298" s="1028" t="s">
        <v>556</v>
      </c>
      <c r="G298" s="1495" t="s">
        <v>836</v>
      </c>
      <c r="H298" s="1497"/>
      <c r="I298" s="1502" t="s">
        <v>3011</v>
      </c>
      <c r="J298" s="1503"/>
      <c r="K298" s="1503"/>
      <c r="L298" s="1504"/>
      <c r="M298" s="1503"/>
      <c r="N298" s="1503"/>
      <c r="O298" s="1505"/>
    </row>
    <row r="299" spans="2:15" ht="13.5" customHeight="1">
      <c r="D299" s="888"/>
      <c r="E299" s="889"/>
      <c r="F299" s="1506"/>
      <c r="G299" s="1495" t="s">
        <v>557</v>
      </c>
      <c r="H299" s="1497"/>
      <c r="I299" s="1495" t="s">
        <v>3012</v>
      </c>
      <c r="J299" s="1496"/>
      <c r="K299" s="1496"/>
      <c r="L299" s="1507"/>
      <c r="M299" s="1496"/>
      <c r="N299" s="1496"/>
      <c r="O299" s="1497"/>
    </row>
    <row r="300" spans="2:15" ht="13.5" customHeight="1">
      <c r="D300" s="888"/>
      <c r="E300" s="889"/>
      <c r="F300" s="1506"/>
      <c r="G300" s="1495" t="s">
        <v>558</v>
      </c>
      <c r="H300" s="1497"/>
      <c r="I300" s="1495" t="s">
        <v>3013</v>
      </c>
      <c r="J300" s="1496"/>
      <c r="K300" s="1496"/>
      <c r="L300" s="1507"/>
      <c r="M300" s="1496"/>
      <c r="N300" s="1496"/>
      <c r="O300" s="1497"/>
    </row>
    <row r="301" spans="2:15" ht="13.5" customHeight="1">
      <c r="D301" s="888"/>
      <c r="E301" s="889"/>
      <c r="F301" s="1506"/>
      <c r="G301" s="1495" t="s">
        <v>559</v>
      </c>
      <c r="H301" s="1497"/>
      <c r="I301" s="1495" t="s">
        <v>3014</v>
      </c>
      <c r="J301" s="1496"/>
      <c r="K301" s="1496"/>
      <c r="L301" s="1507"/>
      <c r="M301" s="1496"/>
      <c r="N301" s="1496"/>
      <c r="O301" s="1497"/>
    </row>
    <row r="302" spans="2:15" ht="13.5" customHeight="1">
      <c r="D302" s="888"/>
      <c r="E302" s="889"/>
      <c r="F302" s="1360"/>
      <c r="G302" s="1495" t="s">
        <v>560</v>
      </c>
      <c r="H302" s="1497"/>
      <c r="I302" s="1495" t="s">
        <v>837</v>
      </c>
      <c r="J302" s="1496"/>
      <c r="K302" s="1496"/>
      <c r="L302" s="1507"/>
      <c r="M302" s="1496"/>
      <c r="N302" s="1496"/>
      <c r="O302" s="1497"/>
    </row>
    <row r="303" spans="2:15" ht="13.5" customHeight="1">
      <c r="D303" s="888"/>
      <c r="E303" s="889"/>
      <c r="F303" s="1508" t="s">
        <v>1808</v>
      </c>
      <c r="G303" s="1495" t="s">
        <v>838</v>
      </c>
      <c r="H303" s="1497"/>
      <c r="I303" s="1495" t="s">
        <v>3015</v>
      </c>
      <c r="J303" s="1496"/>
      <c r="K303" s="1496"/>
      <c r="L303" s="1507"/>
      <c r="M303" s="1496"/>
      <c r="N303" s="1496"/>
      <c r="O303" s="1497"/>
    </row>
    <row r="304" spans="2:15" ht="13.5" customHeight="1">
      <c r="D304" s="888"/>
      <c r="E304" s="889"/>
      <c r="F304" s="1508" t="s">
        <v>1809</v>
      </c>
      <c r="G304" s="1495" t="s">
        <v>839</v>
      </c>
      <c r="H304" s="1497"/>
      <c r="I304" s="1495" t="s">
        <v>840</v>
      </c>
      <c r="J304" s="1496"/>
      <c r="K304" s="1496"/>
      <c r="L304" s="1507"/>
      <c r="M304" s="1496"/>
      <c r="N304" s="1496"/>
      <c r="O304" s="1497"/>
    </row>
    <row r="305" spans="4:15" ht="13.5" customHeight="1">
      <c r="D305" s="888"/>
      <c r="E305" s="889"/>
      <c r="F305" s="1508" t="s">
        <v>841</v>
      </c>
      <c r="G305" s="1495" t="s">
        <v>534</v>
      </c>
      <c r="H305" s="1497"/>
      <c r="I305" s="1495" t="s">
        <v>3016</v>
      </c>
      <c r="J305" s="1496"/>
      <c r="K305" s="1496"/>
      <c r="L305" s="1507"/>
      <c r="M305" s="1496"/>
      <c r="N305" s="1496"/>
      <c r="O305" s="1497"/>
    </row>
    <row r="306" spans="4:15" ht="13.5" customHeight="1">
      <c r="D306" s="888"/>
      <c r="E306" s="889"/>
      <c r="F306" s="1509" t="s">
        <v>1810</v>
      </c>
      <c r="G306" s="1207"/>
      <c r="H306" s="1207"/>
      <c r="I306" s="1207"/>
      <c r="J306" s="1207"/>
      <c r="K306" s="1207"/>
      <c r="L306" s="1510"/>
      <c r="M306" s="1442"/>
      <c r="N306" s="1442"/>
      <c r="O306" s="1442"/>
    </row>
    <row r="307" spans="4:15" ht="13.5" customHeight="1">
      <c r="D307" s="888"/>
      <c r="E307" s="889"/>
      <c r="F307" s="1511" t="s">
        <v>1136</v>
      </c>
      <c r="G307" s="1512"/>
      <c r="H307" s="1513"/>
      <c r="I307" s="1514" t="s">
        <v>1137</v>
      </c>
      <c r="J307" s="1515" t="s">
        <v>1138</v>
      </c>
      <c r="K307" s="1516"/>
      <c r="L307" s="1517" t="s">
        <v>1811</v>
      </c>
      <c r="M307" s="1518" t="s">
        <v>1139</v>
      </c>
      <c r="O307" s="1442"/>
    </row>
    <row r="308" spans="4:15" ht="13.5" customHeight="1">
      <c r="D308" s="888"/>
      <c r="E308" s="889"/>
      <c r="F308" s="1519" t="s">
        <v>1140</v>
      </c>
      <c r="G308" s="1520"/>
      <c r="H308" s="1521"/>
      <c r="I308" s="1514" t="s">
        <v>1141</v>
      </c>
      <c r="J308" s="1511" t="s">
        <v>1812</v>
      </c>
      <c r="K308" s="1513"/>
      <c r="L308" s="1522">
        <v>1</v>
      </c>
      <c r="M308" s="1523">
        <v>4750</v>
      </c>
      <c r="O308" s="1442"/>
    </row>
    <row r="309" spans="4:15" ht="13.5" customHeight="1">
      <c r="D309" s="888"/>
      <c r="E309" s="889"/>
      <c r="F309" s="1524"/>
      <c r="G309" s="1525"/>
      <c r="H309" s="1526"/>
      <c r="I309" s="1514" t="s">
        <v>307</v>
      </c>
      <c r="J309" s="1511" t="s">
        <v>1813</v>
      </c>
      <c r="K309" s="1513"/>
      <c r="L309" s="1522">
        <v>0.11</v>
      </c>
      <c r="M309" s="1527">
        <v>725</v>
      </c>
      <c r="O309" s="1442"/>
    </row>
    <row r="310" spans="4:15" ht="13.5" customHeight="1">
      <c r="D310" s="888"/>
      <c r="E310" s="889"/>
      <c r="F310" s="1528" t="s">
        <v>308</v>
      </c>
      <c r="G310" s="1529"/>
      <c r="H310" s="1530"/>
      <c r="I310" s="1511" t="s">
        <v>309</v>
      </c>
      <c r="J310" s="1511" t="s">
        <v>1814</v>
      </c>
      <c r="K310" s="1513"/>
      <c r="L310" s="1522">
        <v>0</v>
      </c>
      <c r="M310" s="1531">
        <v>1430</v>
      </c>
      <c r="O310" s="1442"/>
    </row>
    <row r="311" spans="4:15" ht="13.5" customHeight="1">
      <c r="D311" s="888"/>
      <c r="E311" s="889"/>
      <c r="F311" s="1532"/>
      <c r="G311" s="1533"/>
      <c r="H311" s="1534"/>
      <c r="I311" s="1511"/>
      <c r="J311" s="1511" t="s">
        <v>1815</v>
      </c>
      <c r="K311" s="1513"/>
      <c r="L311" s="1522">
        <v>0</v>
      </c>
      <c r="M311" s="1527">
        <v>560</v>
      </c>
      <c r="O311" s="1442"/>
    </row>
    <row r="312" spans="4:15" ht="13.5" customHeight="1">
      <c r="D312" s="888"/>
      <c r="E312" s="889"/>
      <c r="F312" s="1535"/>
      <c r="G312" s="1536"/>
      <c r="H312" s="1537"/>
      <c r="I312" s="1511"/>
      <c r="J312" s="1511" t="s">
        <v>641</v>
      </c>
      <c r="K312" s="1513"/>
      <c r="L312" s="1522">
        <v>0</v>
      </c>
      <c r="M312" s="1527">
        <v>3</v>
      </c>
      <c r="O312" s="1442"/>
    </row>
    <row r="313" spans="4:15" ht="13.5" customHeight="1">
      <c r="D313" s="888"/>
      <c r="E313" s="889"/>
      <c r="F313" s="1519" t="s">
        <v>310</v>
      </c>
      <c r="G313" s="1520"/>
      <c r="H313" s="1521"/>
      <c r="I313" s="1514" t="s">
        <v>1141</v>
      </c>
      <c r="J313" s="1511" t="s">
        <v>642</v>
      </c>
      <c r="K313" s="1513"/>
      <c r="L313" s="1522">
        <v>1</v>
      </c>
      <c r="M313" s="1531">
        <v>10900</v>
      </c>
      <c r="O313" s="1442"/>
    </row>
    <row r="314" spans="4:15" ht="13.5" customHeight="1">
      <c r="D314" s="888"/>
      <c r="E314" s="889"/>
      <c r="F314" s="1538"/>
      <c r="G314" s="1539"/>
      <c r="H314" s="1540"/>
      <c r="I314" s="1514" t="s">
        <v>307</v>
      </c>
      <c r="J314" s="1511" t="s">
        <v>643</v>
      </c>
      <c r="K314" s="1513"/>
      <c r="L314" s="1522">
        <v>6.5000000000000002E-2</v>
      </c>
      <c r="M314" s="1531">
        <v>2310</v>
      </c>
      <c r="O314" s="1442"/>
    </row>
    <row r="315" spans="4:15" ht="13.5" customHeight="1">
      <c r="D315" s="888"/>
      <c r="E315" s="889"/>
      <c r="F315" s="1524"/>
      <c r="G315" s="1525"/>
      <c r="H315" s="1526"/>
      <c r="I315" s="1514" t="s">
        <v>309</v>
      </c>
      <c r="J315" s="1511" t="s">
        <v>1814</v>
      </c>
      <c r="K315" s="1513"/>
      <c r="L315" s="1522">
        <v>0</v>
      </c>
      <c r="M315" s="1531">
        <v>1430</v>
      </c>
      <c r="O315" s="1442"/>
    </row>
    <row r="316" spans="4:15" ht="13.5" customHeight="1">
      <c r="D316" s="888"/>
      <c r="E316" s="889"/>
      <c r="F316" s="1519" t="s">
        <v>644</v>
      </c>
      <c r="G316" s="1520"/>
      <c r="H316" s="1521"/>
      <c r="I316" s="1514" t="s">
        <v>1141</v>
      </c>
      <c r="J316" s="1511" t="s">
        <v>645</v>
      </c>
      <c r="K316" s="1513"/>
      <c r="L316" s="1522">
        <v>0.8</v>
      </c>
      <c r="M316" s="1531">
        <v>6130</v>
      </c>
      <c r="O316" s="1442"/>
    </row>
    <row r="317" spans="4:15" ht="15.75">
      <c r="D317" s="888"/>
      <c r="E317" s="889"/>
      <c r="F317" s="1524"/>
      <c r="G317" s="1525"/>
      <c r="H317" s="1526"/>
      <c r="I317" s="1514" t="s">
        <v>311</v>
      </c>
      <c r="J317" s="1511" t="s">
        <v>646</v>
      </c>
      <c r="K317" s="1513"/>
      <c r="L317" s="1522">
        <v>0</v>
      </c>
      <c r="M317" s="1527"/>
      <c r="O317" s="1442"/>
    </row>
    <row r="318" spans="4:15">
      <c r="F318" s="1541" t="s">
        <v>853</v>
      </c>
      <c r="G318" s="1542"/>
      <c r="H318" s="1542"/>
      <c r="I318" s="1543"/>
    </row>
    <row r="319" spans="4:15">
      <c r="F319" s="1544" t="s">
        <v>854</v>
      </c>
      <c r="G319" s="1545" t="s">
        <v>855</v>
      </c>
      <c r="H319" s="1546" t="s">
        <v>647</v>
      </c>
      <c r="I319" s="1547" t="s">
        <v>856</v>
      </c>
      <c r="J319" s="1351" t="s">
        <v>1092</v>
      </c>
      <c r="K319" s="1353"/>
    </row>
    <row r="320" spans="4:15">
      <c r="F320" s="1544" t="s">
        <v>857</v>
      </c>
      <c r="G320" s="1546">
        <v>50</v>
      </c>
      <c r="H320" s="1546">
        <v>1</v>
      </c>
      <c r="I320" s="1548">
        <v>4750</v>
      </c>
      <c r="J320" s="1544" t="s">
        <v>648</v>
      </c>
      <c r="K320" s="1549"/>
    </row>
    <row r="321" spans="6:11">
      <c r="F321" s="1369" t="s">
        <v>858</v>
      </c>
      <c r="G321" s="1550">
        <v>120</v>
      </c>
      <c r="H321" s="1550">
        <v>1</v>
      </c>
      <c r="I321" s="1551">
        <v>10900</v>
      </c>
      <c r="J321" s="1369"/>
      <c r="K321" s="1552"/>
    </row>
    <row r="322" spans="6:11">
      <c r="F322" s="1369" t="s">
        <v>859</v>
      </c>
      <c r="G322" s="1550">
        <v>85</v>
      </c>
      <c r="H322" s="1550">
        <v>0.8</v>
      </c>
      <c r="I322" s="1551">
        <v>6130</v>
      </c>
      <c r="J322" s="1369"/>
      <c r="K322" s="1552"/>
    </row>
    <row r="323" spans="6:11">
      <c r="F323" s="1369" t="s">
        <v>860</v>
      </c>
      <c r="G323" s="1550">
        <v>300</v>
      </c>
      <c r="H323" s="1550">
        <v>1</v>
      </c>
      <c r="I323" s="1551">
        <v>10000</v>
      </c>
      <c r="J323" s="1369"/>
      <c r="K323" s="1552"/>
    </row>
    <row r="324" spans="6:11">
      <c r="F324" s="1553" t="s">
        <v>861</v>
      </c>
      <c r="G324" s="1554">
        <v>1700</v>
      </c>
      <c r="H324" s="1554">
        <v>0.6</v>
      </c>
      <c r="I324" s="1555">
        <v>7370</v>
      </c>
      <c r="J324" s="1553"/>
      <c r="K324" s="1556"/>
    </row>
    <row r="325" spans="6:11">
      <c r="F325" s="1544" t="s">
        <v>862</v>
      </c>
      <c r="G325" s="1546">
        <v>13.3</v>
      </c>
      <c r="H325" s="1546">
        <v>5.5E-2</v>
      </c>
      <c r="I325" s="1548">
        <v>1810</v>
      </c>
      <c r="J325" s="1544" t="s">
        <v>649</v>
      </c>
      <c r="K325" s="1549"/>
    </row>
    <row r="326" spans="6:11">
      <c r="F326" s="1369" t="s">
        <v>863</v>
      </c>
      <c r="G326" s="1550">
        <v>1.4</v>
      </c>
      <c r="H326" s="1550" t="s">
        <v>650</v>
      </c>
      <c r="I326" s="1551">
        <v>77</v>
      </c>
      <c r="J326" s="1369"/>
      <c r="K326" s="1552"/>
    </row>
    <row r="327" spans="6:11">
      <c r="F327" s="1369" t="s">
        <v>1527</v>
      </c>
      <c r="G327" s="1550">
        <v>5.9</v>
      </c>
      <c r="H327" s="1550">
        <v>2.1999999999999999E-2</v>
      </c>
      <c r="I327" s="1551">
        <v>609</v>
      </c>
      <c r="J327" s="1369"/>
      <c r="K327" s="1552"/>
    </row>
    <row r="328" spans="6:11">
      <c r="F328" s="1369" t="s">
        <v>1528</v>
      </c>
      <c r="G328" s="1550">
        <v>9.4</v>
      </c>
      <c r="H328" s="1550">
        <v>0.11</v>
      </c>
      <c r="I328" s="1551">
        <v>725</v>
      </c>
      <c r="J328" s="1369"/>
      <c r="K328" s="1552"/>
    </row>
    <row r="329" spans="6:11">
      <c r="F329" s="1369" t="s">
        <v>1529</v>
      </c>
      <c r="G329" s="1550">
        <v>19.5</v>
      </c>
      <c r="H329" s="1550">
        <v>6.5000000000000002E-2</v>
      </c>
      <c r="I329" s="1551">
        <v>2310</v>
      </c>
      <c r="J329" s="1369"/>
      <c r="K329" s="1552"/>
    </row>
    <row r="330" spans="6:11">
      <c r="F330" s="1369" t="s">
        <v>1530</v>
      </c>
      <c r="G330" s="1550">
        <v>2.5</v>
      </c>
      <c r="H330" s="1550">
        <v>0.25</v>
      </c>
      <c r="I330" s="1551">
        <v>122</v>
      </c>
      <c r="J330" s="1369"/>
      <c r="K330" s="1552"/>
    </row>
    <row r="331" spans="6:11">
      <c r="F331" s="1553" t="s">
        <v>1531</v>
      </c>
      <c r="G331" s="1554">
        <v>2.6</v>
      </c>
      <c r="H331" s="1554">
        <v>3.3000000000000002E-2</v>
      </c>
      <c r="I331" s="1555">
        <v>595</v>
      </c>
      <c r="J331" s="1553"/>
      <c r="K331" s="1556"/>
    </row>
    <row r="332" spans="6:11">
      <c r="F332" s="1544" t="s">
        <v>1532</v>
      </c>
      <c r="G332" s="1546">
        <v>264</v>
      </c>
      <c r="H332" s="1546">
        <v>0</v>
      </c>
      <c r="I332" s="1548">
        <v>14800</v>
      </c>
      <c r="J332" s="1544" t="s">
        <v>1533</v>
      </c>
      <c r="K332" s="1549"/>
    </row>
    <row r="333" spans="6:11">
      <c r="F333" s="1369" t="s">
        <v>1534</v>
      </c>
      <c r="G333" s="1550">
        <v>5.6</v>
      </c>
      <c r="H333" s="1550"/>
      <c r="I333" s="1551">
        <v>675</v>
      </c>
      <c r="J333" s="1369"/>
      <c r="K333" s="1552"/>
    </row>
    <row r="334" spans="6:11">
      <c r="F334" s="1369" t="s">
        <v>1535</v>
      </c>
      <c r="G334" s="1550">
        <v>32.6</v>
      </c>
      <c r="H334" s="1550"/>
      <c r="I334" s="1551">
        <v>3500</v>
      </c>
      <c r="J334" s="1369"/>
      <c r="K334" s="1552"/>
    </row>
    <row r="335" spans="6:11">
      <c r="F335" s="1369" t="s">
        <v>1536</v>
      </c>
      <c r="G335" s="1550">
        <v>14.6</v>
      </c>
      <c r="H335" s="1550"/>
      <c r="I335" s="1551">
        <v>1430</v>
      </c>
      <c r="J335" s="1369"/>
      <c r="K335" s="1552"/>
    </row>
    <row r="336" spans="6:11">
      <c r="F336" s="1369" t="s">
        <v>1537</v>
      </c>
      <c r="G336" s="1550">
        <v>48.3</v>
      </c>
      <c r="H336" s="1550"/>
      <c r="I336" s="1551">
        <v>4470</v>
      </c>
      <c r="J336" s="1369"/>
      <c r="K336" s="1552"/>
    </row>
    <row r="337" spans="6:11">
      <c r="F337" s="1369" t="s">
        <v>1538</v>
      </c>
      <c r="G337" s="1550">
        <v>1.5</v>
      </c>
      <c r="H337" s="1550"/>
      <c r="I337" s="1551">
        <v>124</v>
      </c>
      <c r="J337" s="1369"/>
      <c r="K337" s="1552"/>
    </row>
    <row r="338" spans="6:11">
      <c r="F338" s="1369" t="s">
        <v>1539</v>
      </c>
      <c r="G338" s="1550">
        <v>36.5</v>
      </c>
      <c r="H338" s="1550"/>
      <c r="I338" s="1551">
        <v>3220</v>
      </c>
      <c r="J338" s="1369"/>
      <c r="K338" s="1552"/>
    </row>
    <row r="339" spans="6:11">
      <c r="F339" s="1369" t="s">
        <v>1540</v>
      </c>
      <c r="G339" s="1550">
        <v>209</v>
      </c>
      <c r="H339" s="1550"/>
      <c r="I339" s="1551">
        <v>9810</v>
      </c>
      <c r="J339" s="1369"/>
      <c r="K339" s="1552"/>
    </row>
    <row r="340" spans="6:11">
      <c r="F340" s="1553" t="s">
        <v>1130</v>
      </c>
      <c r="G340" s="1554">
        <v>6.6</v>
      </c>
      <c r="H340" s="1554"/>
      <c r="I340" s="1555">
        <v>560</v>
      </c>
      <c r="J340" s="1553"/>
      <c r="K340" s="1556"/>
    </row>
    <row r="341" spans="6:11">
      <c r="F341" s="1544" t="s">
        <v>1131</v>
      </c>
      <c r="G341" s="1548">
        <v>50000</v>
      </c>
      <c r="H341" s="1546">
        <v>0</v>
      </c>
      <c r="I341" s="1548">
        <v>6500</v>
      </c>
      <c r="J341" s="1544" t="s">
        <v>651</v>
      </c>
      <c r="K341" s="1549"/>
    </row>
    <row r="342" spans="6:11">
      <c r="F342" s="1369" t="s">
        <v>1132</v>
      </c>
      <c r="G342" s="1551">
        <v>10000</v>
      </c>
      <c r="H342" s="1550"/>
      <c r="I342" s="1551">
        <v>9200</v>
      </c>
      <c r="J342" s="1369"/>
      <c r="K342" s="1552"/>
    </row>
    <row r="343" spans="6:11">
      <c r="F343" s="1369" t="s">
        <v>1133</v>
      </c>
      <c r="G343" s="1551">
        <v>2600</v>
      </c>
      <c r="H343" s="1550"/>
      <c r="I343" s="1551">
        <v>7000</v>
      </c>
      <c r="J343" s="1369"/>
      <c r="K343" s="1552"/>
    </row>
    <row r="344" spans="6:11">
      <c r="F344" s="1553" t="s">
        <v>1134</v>
      </c>
      <c r="G344" s="1555">
        <v>3200</v>
      </c>
      <c r="H344" s="1554"/>
      <c r="I344" s="1555">
        <v>8700</v>
      </c>
      <c r="J344" s="1553"/>
      <c r="K344" s="1556"/>
    </row>
    <row r="345" spans="6:11"/>
  </sheetData>
  <sheetProtection algorithmName="SHA-512" hashValue="Wfyavg/yi5qFoBizbcAaJyWdhX0J9DJ4Z/5Bv1ojRmnf9INGJDdCOKYP269J4HNJEZp6eK5qs7Z4PrjLKg6zvg==" saltValue="6eUJ2W5vGtu/pucxveE6IQ==" spinCount="100000" sheet="1" objects="1" scenarios="1" selectLockedCells="1"/>
  <mergeCells count="72">
    <mergeCell ref="F221:F222"/>
    <mergeCell ref="G222:J222"/>
    <mergeCell ref="G240:G241"/>
    <mergeCell ref="H241:O241"/>
    <mergeCell ref="L215:O215"/>
    <mergeCell ref="L216:O216"/>
    <mergeCell ref="L217:O217"/>
    <mergeCell ref="K218:K219"/>
    <mergeCell ref="L219:O219"/>
    <mergeCell ref="G199:J199"/>
    <mergeCell ref="L199:O199"/>
    <mergeCell ref="G200:J200"/>
    <mergeCell ref="L200:O200"/>
    <mergeCell ref="G201:J201"/>
    <mergeCell ref="L201:O201"/>
    <mergeCell ref="G192:J192"/>
    <mergeCell ref="L192:O192"/>
    <mergeCell ref="G197:J197"/>
    <mergeCell ref="L197:O197"/>
    <mergeCell ref="G198:J198"/>
    <mergeCell ref="L198:O198"/>
    <mergeCell ref="L189:O189"/>
    <mergeCell ref="G190:J190"/>
    <mergeCell ref="L190:O190"/>
    <mergeCell ref="G191:J191"/>
    <mergeCell ref="L191:O191"/>
    <mergeCell ref="H50:O50"/>
    <mergeCell ref="G42:G44"/>
    <mergeCell ref="G45:G46"/>
    <mergeCell ref="H45:J46"/>
    <mergeCell ref="K45:N45"/>
    <mergeCell ref="H42:J44"/>
    <mergeCell ref="G39:G41"/>
    <mergeCell ref="H39:J41"/>
    <mergeCell ref="G30:J30"/>
    <mergeCell ref="G31:J31"/>
    <mergeCell ref="G32:J32"/>
    <mergeCell ref="G33:J33"/>
    <mergeCell ref="G34:J34"/>
    <mergeCell ref="H36:J36"/>
    <mergeCell ref="K71:O71"/>
    <mergeCell ref="G285:I285"/>
    <mergeCell ref="L285:O285"/>
    <mergeCell ref="N95:O99"/>
    <mergeCell ref="G255:G256"/>
    <mergeCell ref="H90:O90"/>
    <mergeCell ref="H155:O155"/>
    <mergeCell ref="H167:O167"/>
    <mergeCell ref="G164:O164"/>
    <mergeCell ref="G163:O163"/>
    <mergeCell ref="G162:O162"/>
    <mergeCell ref="G161:O161"/>
    <mergeCell ref="G160:O160"/>
    <mergeCell ref="G188:J188"/>
    <mergeCell ref="L188:O188"/>
    <mergeCell ref="G189:J189"/>
    <mergeCell ref="M1:O1"/>
    <mergeCell ref="G291:J291"/>
    <mergeCell ref="K291:K295"/>
    <mergeCell ref="G292:J292"/>
    <mergeCell ref="G293:J293"/>
    <mergeCell ref="G294:J294"/>
    <mergeCell ref="G295:J295"/>
    <mergeCell ref="G282:I282"/>
    <mergeCell ref="J282:J286"/>
    <mergeCell ref="L286:O286"/>
    <mergeCell ref="K30:L34"/>
    <mergeCell ref="N32:O32"/>
    <mergeCell ref="N34:O34"/>
    <mergeCell ref="K102:O102"/>
    <mergeCell ref="H47:J47"/>
    <mergeCell ref="N65:O69"/>
  </mergeCells>
  <phoneticPr fontId="21"/>
  <conditionalFormatting sqref="L71">
    <cfRule type="expression" dxfId="71" priority="38" stopIfTrue="1">
      <formula>P63&gt;0</formula>
    </cfRule>
  </conditionalFormatting>
  <conditionalFormatting sqref="O71">
    <cfRule type="expression" dxfId="70" priority="39" stopIfTrue="1">
      <formula>Q63&gt;0</formula>
    </cfRule>
  </conditionalFormatting>
  <conditionalFormatting sqref="K18 K281">
    <cfRule type="expression" dxfId="69" priority="40" stopIfTrue="1">
      <formula>AND(OR(K18&lt;1,K18&gt;5),K18&lt;&gt;0)</formula>
    </cfRule>
    <cfRule type="expression" dxfId="68" priority="41" stopIfTrue="1">
      <formula>$O17&gt;0</formula>
    </cfRule>
  </conditionalFormatting>
  <conditionalFormatting sqref="K71">
    <cfRule type="expression" dxfId="67" priority="42" stopIfTrue="1">
      <formula>J63&gt;0</formula>
    </cfRule>
  </conditionalFormatting>
  <conditionalFormatting sqref="G180:G183">
    <cfRule type="expression" dxfId="66" priority="43" stopIfTrue="1">
      <formula>$J$170&gt;0.001</formula>
    </cfRule>
  </conditionalFormatting>
  <conditionalFormatting sqref="G257:G276">
    <cfRule type="expression" dxfId="65" priority="44" stopIfTrue="1">
      <formula>$J$246&gt;0</formula>
    </cfRule>
  </conditionalFormatting>
  <conditionalFormatting sqref="F8 F18 F55 F64 F94 F159 F281 F290">
    <cfRule type="expression" dxfId="64" priority="45" stopIfTrue="1">
      <formula>AND(OR(F8&lt;1,F8&gt;5),F8&lt;&gt;0)</formula>
    </cfRule>
    <cfRule type="expression" dxfId="63" priority="46" stopIfTrue="1">
      <formula>$J7&gt;0</formula>
    </cfRule>
  </conditionalFormatting>
  <conditionalFormatting sqref="M102:N102 M71:N71">
    <cfRule type="expression" dxfId="62" priority="47" stopIfTrue="1">
      <formula>#REF!&gt;0</formula>
    </cfRule>
  </conditionalFormatting>
  <conditionalFormatting sqref="G39:G46">
    <cfRule type="expression" dxfId="61" priority="49" stopIfTrue="1">
      <formula>$G$37=$R$3</formula>
    </cfRule>
    <cfRule type="expression" dxfId="60" priority="50" stopIfTrue="1">
      <formula>$J$28&gt;0.001</formula>
    </cfRule>
  </conditionalFormatting>
  <conditionalFormatting sqref="G38">
    <cfRule type="expression" dxfId="59" priority="35" stopIfTrue="1">
      <formula>J28&gt;0.001</formula>
    </cfRule>
  </conditionalFormatting>
  <conditionalFormatting sqref="G37">
    <cfRule type="expression" dxfId="58" priority="36" stopIfTrue="1">
      <formula>J28&gt;0.001</formula>
    </cfRule>
  </conditionalFormatting>
  <conditionalFormatting sqref="G50">
    <cfRule type="expression" dxfId="57" priority="34" stopIfTrue="1">
      <formula>J28&gt;0</formula>
    </cfRule>
  </conditionalFormatting>
  <conditionalFormatting sqref="L102">
    <cfRule type="expression" dxfId="56" priority="82" stopIfTrue="1">
      <formula>P93&gt;0</formula>
    </cfRule>
  </conditionalFormatting>
  <conditionalFormatting sqref="O102">
    <cfRule type="expression" dxfId="55" priority="83" stopIfTrue="1">
      <formula>Q93&gt;0</formula>
    </cfRule>
  </conditionalFormatting>
  <conditionalFormatting sqref="K102">
    <cfRule type="expression" dxfId="54" priority="84" stopIfTrue="1">
      <formula>J93&gt;0</formula>
    </cfRule>
  </conditionalFormatting>
  <conditionalFormatting sqref="G167">
    <cfRule type="expression" dxfId="53" priority="31" stopIfTrue="1">
      <formula>J158&gt;0</formula>
    </cfRule>
  </conditionalFormatting>
  <conditionalFormatting sqref="F177">
    <cfRule type="expression" dxfId="52" priority="29" stopIfTrue="1">
      <formula>AND(OR(F177&lt;1,F177&gt;5),F177&lt;&gt;0)</formula>
    </cfRule>
    <cfRule type="expression" dxfId="51" priority="30" stopIfTrue="1">
      <formula>AND(J170&gt;0,H177=$T$4)</formula>
    </cfRule>
  </conditionalFormatting>
  <conditionalFormatting sqref="H177">
    <cfRule type="expression" dxfId="50" priority="28">
      <formula>J170&gt;0</formula>
    </cfRule>
  </conditionalFormatting>
  <conditionalFormatting sqref="K187">
    <cfRule type="expression" dxfId="49" priority="23" stopIfTrue="1">
      <formula>AND(OR(K187&lt;1,K187&gt;5),K187&lt;&gt;0)</formula>
    </cfRule>
    <cfRule type="expression" dxfId="48" priority="24" stopIfTrue="1">
      <formula>$O186&gt;0</formula>
    </cfRule>
  </conditionalFormatting>
  <conditionalFormatting sqref="F187">
    <cfRule type="expression" dxfId="47" priority="25" stopIfTrue="1">
      <formula>AND(OR(F187&lt;1,F187&gt;5),F187&lt;&gt;0)</formula>
    </cfRule>
    <cfRule type="expression" dxfId="46" priority="26" stopIfTrue="1">
      <formula>$J186&gt;0</formula>
    </cfRule>
  </conditionalFormatting>
  <conditionalFormatting sqref="K196">
    <cfRule type="expression" dxfId="45" priority="19" stopIfTrue="1">
      <formula>AND(OR(K196&lt;1,K196&gt;5),K196&lt;&gt;0)</formula>
    </cfRule>
    <cfRule type="expression" dxfId="44" priority="20" stopIfTrue="1">
      <formula>$O195&gt;0</formula>
    </cfRule>
  </conditionalFormatting>
  <conditionalFormatting sqref="F196">
    <cfRule type="expression" dxfId="43" priority="21" stopIfTrue="1">
      <formula>AND(OR(F196&lt;1,F196&gt;5),F196&lt;&gt;0)</formula>
    </cfRule>
    <cfRule type="expression" dxfId="42" priority="22" stopIfTrue="1">
      <formula>$J195&gt;0</formula>
    </cfRule>
  </conditionalFormatting>
  <conditionalFormatting sqref="F214:F222">
    <cfRule type="expression" dxfId="41" priority="27" stopIfTrue="1">
      <formula>AND($J$204&gt;0,$H$211=$T$3)</formula>
    </cfRule>
  </conditionalFormatting>
  <conditionalFormatting sqref="H241">
    <cfRule type="expression" dxfId="40" priority="18" stopIfTrue="1">
      <formula>AND($J$84&gt;0,$G$105=1)</formula>
    </cfRule>
  </conditionalFormatting>
  <conditionalFormatting sqref="G222:J222">
    <cfRule type="expression" dxfId="39" priority="17">
      <formula>F221=$S$3</formula>
    </cfRule>
  </conditionalFormatting>
  <conditionalFormatting sqref="L219:O219">
    <cfRule type="expression" dxfId="38" priority="16">
      <formula>K218=$S$3</formula>
    </cfRule>
  </conditionalFormatting>
  <conditionalFormatting sqref="F211">
    <cfRule type="expression" dxfId="37" priority="14" stopIfTrue="1">
      <formula>AND(OR(F211&lt;1,F211&gt;5),F211&lt;&gt;0)</formula>
    </cfRule>
    <cfRule type="expression" dxfId="36" priority="15" stopIfTrue="1">
      <formula>AND(J204&gt;0,H211=$T$4)</formula>
    </cfRule>
  </conditionalFormatting>
  <conditionalFormatting sqref="H211">
    <cfRule type="expression" dxfId="35" priority="13">
      <formula>J204&gt;0</formula>
    </cfRule>
  </conditionalFormatting>
  <conditionalFormatting sqref="M211">
    <cfRule type="expression" dxfId="34" priority="12">
      <formula>O204&gt;0</formula>
    </cfRule>
  </conditionalFormatting>
  <conditionalFormatting sqref="K211">
    <cfRule type="expression" dxfId="33" priority="10" stopIfTrue="1">
      <formula>AND(OR(K211&lt;1,K211&gt;5),K211&lt;&gt;0)</formula>
    </cfRule>
    <cfRule type="expression" dxfId="32" priority="11" stopIfTrue="1">
      <formula>AND(O204&gt;0,M211=$T$4)</formula>
    </cfRule>
  </conditionalFormatting>
  <conditionalFormatting sqref="H233">
    <cfRule type="expression" dxfId="31" priority="9">
      <formula>J226&gt;0</formula>
    </cfRule>
  </conditionalFormatting>
  <conditionalFormatting sqref="K214:K219">
    <cfRule type="expression" dxfId="30" priority="8">
      <formula>AND($O$204&gt;0,$M$211=$T$3)</formula>
    </cfRule>
  </conditionalFormatting>
  <conditionalFormatting sqref="G236:G241">
    <cfRule type="expression" dxfId="29" priority="7">
      <formula>AND($J$226&gt;0,$H$233=$T$3)</formula>
    </cfRule>
  </conditionalFormatting>
  <conditionalFormatting sqref="F233">
    <cfRule type="expression" dxfId="28" priority="5" stopIfTrue="1">
      <formula>AND(OR(F233&lt;1,F233&gt;5),F233&lt;&gt;0)</formula>
    </cfRule>
    <cfRule type="expression" dxfId="27" priority="6" stopIfTrue="1">
      <formula>AND(J226&gt;0,H233=$T$4)</formula>
    </cfRule>
  </conditionalFormatting>
  <conditionalFormatting sqref="H241:O241">
    <cfRule type="expression" dxfId="26" priority="4">
      <formula>AND($J$226&gt;0,$G$240=$S$3)</formula>
    </cfRule>
  </conditionalFormatting>
  <conditionalFormatting sqref="F253">
    <cfRule type="expression" dxfId="25" priority="2" stopIfTrue="1">
      <formula>AND(OR(F253&lt;1,F253&gt;5),F253&lt;&gt;0)</formula>
    </cfRule>
    <cfRule type="expression" dxfId="24" priority="3" stopIfTrue="1">
      <formula>AND(J246&gt;0,H253=$T$4)</formula>
    </cfRule>
  </conditionalFormatting>
  <conditionalFormatting sqref="H253">
    <cfRule type="expression" dxfId="23" priority="1">
      <formula>J246&gt;0</formula>
    </cfRule>
  </conditionalFormatting>
  <dataValidations count="14">
    <dataValidation type="list" allowBlank="1" showInputMessage="1" sqref="K18 K281 M29 K187 K196" xr:uid="{00000000-0002-0000-0B00-000000000000}">
      <formula1>$C19:$C24</formula1>
    </dataValidation>
    <dataValidation type="list" allowBlank="1" showInputMessage="1" showErrorMessage="1" sqref="G180:G183 G50 JC50 SY50 ACU50 AMQ50 AWM50 BGI50 BQE50 CAA50 CJW50 CTS50 DDO50 DNK50 DXG50 EHC50 EQY50 FAU50 FKQ50 FUM50 GEI50 GOE50 GYA50 HHW50 HRS50 IBO50 ILK50 IVG50 JFC50 JOY50 JYU50 KIQ50 KSM50 LCI50 LME50 LWA50 MFW50 MPS50 MZO50 NJK50 NTG50 ODC50 OMY50 OWU50 PGQ50 PQM50 QAI50 QKE50 QUA50 RDW50 RNS50 RXO50 SHK50 SRG50 TBC50 TKY50 TUU50 UEQ50 UOM50 UYI50 VIE50 VSA50 WBW50 WLS50 WVO50 G90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G155 JC155 SY155 ACU155 AMQ155 AWM155 BGI155 BQE155 CAA155 CJW155 CTS155 DDO155 DNK155 DXG155 EHC155 EQY155 FAU155 FKQ155 FUM155 GEI155 GOE155 GYA155 HHW155 HRS155 IBO155 ILK155 IVG155 JFC155 JOY155 JYU155 KIQ155 KSM155 LCI155 LME155 LWA155 MFW155 MPS155 MZO155 NJK155 NTG155 ODC155 OMY155 OWU155 PGQ155 PQM155 QAI155 QKE155 QUA155 RDW155 RNS155 RXO155 SHK155 SRG155 TBC155 TKY155 TUU155 UEQ155 UOM155 UYI155 VIE155 VSA155 WBW155 WLS155 WVO155 G167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xr:uid="{00000000-0002-0000-0B00-000001000000}">
      <formula1>"○,　"</formula1>
    </dataValidation>
    <dataValidation type="list" allowBlank="1" showInputMessage="1" showErrorMessage="1" sqref="G257:G276" xr:uid="{00000000-0002-0000-0B00-000002000000}">
      <formula1>"　,無"</formula1>
    </dataValidation>
    <dataValidation type="list" allowBlank="1" showInputMessage="1" sqref="F8 F18 F55 F64 F94 F281 F290 F187 F196" xr:uid="{00000000-0002-0000-0B00-000003000000}">
      <formula1>$B9:$B14</formula1>
    </dataValidation>
    <dataValidation type="list" allowBlank="1" showInputMessage="1" showErrorMessage="1" sqref="G39:G44" xr:uid="{00000000-0002-0000-0B00-000004000000}">
      <formula1>$B$39:$B$42</formula1>
    </dataValidation>
    <dataValidation type="list" allowBlank="1" showInputMessage="1" sqref="G37" xr:uid="{00000000-0002-0000-0B00-000005000000}">
      <formula1>$S$2:$S$3</formula1>
    </dataValidation>
    <dataValidation type="list" allowBlank="1" showInputMessage="1" showErrorMessage="1" sqref="WVO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xr:uid="{00000000-0002-0000-0B00-000006000000}">
      <formula1>$R$2:$R$3</formula1>
    </dataValidation>
    <dataValidation type="list" allowBlank="1" showInputMessage="1" showErrorMessage="1" sqref="G45:G46" xr:uid="{00000000-0002-0000-0B00-000007000000}">
      <formula1>$C$39:$C$48</formula1>
    </dataValidation>
    <dataValidation type="list" allowBlank="1" showInputMessage="1" sqref="F159" xr:uid="{00000000-0002-0000-0B00-000008000000}">
      <formula1>$B$160:$B$165</formula1>
    </dataValidation>
    <dataValidation type="list" allowBlank="1" showInputMessage="1" sqref="F177 F211 F233 F253" xr:uid="{00000000-0002-0000-0B00-000009000000}">
      <formula1>$B172:$B177</formula1>
    </dataValidation>
    <dataValidation type="list" allowBlank="1" showInputMessage="1" showErrorMessage="1" sqref="H177 H233 M211 H211 H253" xr:uid="{00000000-0002-0000-0B00-00000A000000}">
      <formula1>$T$3:$T$4</formula1>
    </dataValidation>
    <dataValidation type="list" allowBlank="1" showInputMessage="1" sqref="K211" xr:uid="{00000000-0002-0000-0B00-00000B000000}">
      <formula1>$C$206:$C$211</formula1>
    </dataValidation>
    <dataValidation type="list" allowBlank="1" showInputMessage="1" showErrorMessage="1" sqref="G236:G240 K214:K218 F214:F221" xr:uid="{00000000-0002-0000-0B00-00000C000000}">
      <formula1>$S$3:$S$4</formula1>
    </dataValidation>
    <dataValidation type="list" allowBlank="1" showInputMessage="1" showErrorMessage="1" sqref="G38" xr:uid="{00000000-0002-0000-0B00-00000D000000}">
      <formula1>$S$2:$S$3</formula1>
    </dataValidation>
  </dataValidations>
  <printOptions horizontalCentered="1"/>
  <pageMargins left="0.59055118110236227" right="0.59055118110236227" top="0.78740157480314965" bottom="0.59055118110236227" header="0.51181102362204722" footer="0.51181102362204722"/>
  <pageSetup paperSize="9" scale="67" fitToHeight="9" orientation="portrait" verticalDpi="4294967293" r:id="rId1"/>
  <headerFooter alignWithMargins="0">
    <oddHeader>&amp;L&amp;F&amp;R&amp;A</oddHeader>
    <oddFooter>&amp;C&amp;P/&amp;N</oddFooter>
  </headerFooter>
  <rowBreaks count="4" manualBreakCount="4">
    <brk id="52" min="2" max="15" man="1"/>
    <brk id="91" min="2" max="15" man="1"/>
    <brk id="156" min="2" max="15" man="1"/>
    <brk id="277" min="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sheetPr>
  <dimension ref="A1:Y243"/>
  <sheetViews>
    <sheetView showGridLines="0" tabSelected="1" topLeftCell="A62" zoomScaleNormal="100" zoomScaleSheetLayoutView="100" workbookViewId="0">
      <selection activeCell="F74" sqref="F74"/>
    </sheetView>
  </sheetViews>
  <sheetFormatPr defaultColWidth="0" defaultRowHeight="13.5" zeroHeight="1"/>
  <cols>
    <col min="1" max="1" width="1.875" customWidth="1"/>
    <col min="2" max="2" width="18.625" hidden="1" customWidth="1"/>
    <col min="3" max="3" width="6" hidden="1" customWidth="1"/>
    <col min="4" max="4" width="5.25" style="2037" customWidth="1"/>
    <col min="5" max="5" width="1.875" style="2037" customWidth="1"/>
    <col min="6" max="6" width="11.375" style="2037" customWidth="1"/>
    <col min="7" max="15" width="11.625" style="2037" customWidth="1"/>
    <col min="16" max="16" width="2.25" customWidth="1"/>
    <col min="17" max="17" width="2" hidden="1" customWidth="1"/>
    <col min="18" max="18" width="16.25" hidden="1" customWidth="1"/>
    <col min="19" max="19" width="7.25" hidden="1" customWidth="1"/>
    <col min="20" max="20" width="6.375" hidden="1" customWidth="1"/>
    <col min="21" max="21" width="9.125" hidden="1" customWidth="1"/>
    <col min="22" max="22" width="9.625" hidden="1" customWidth="1"/>
    <col min="23" max="23" width="3.5" hidden="1" customWidth="1"/>
    <col min="24" max="24" width="9" hidden="1" customWidth="1"/>
    <col min="25" max="25" width="10.5" hidden="1" customWidth="1"/>
    <col min="26" max="16384" width="9" hidden="1"/>
  </cols>
  <sheetData>
    <row r="1" spans="4:21" ht="14.25">
      <c r="D1" s="1575"/>
      <c r="E1" s="886"/>
      <c r="F1" s="886"/>
      <c r="G1" s="886"/>
      <c r="H1" s="886"/>
      <c r="I1" s="886"/>
      <c r="J1" s="886"/>
      <c r="K1" s="886"/>
      <c r="M1" s="1557" t="s">
        <v>2215</v>
      </c>
      <c r="N1" s="3671" t="str">
        <f>メイン!C11</f>
        <v>○○ビル</v>
      </c>
      <c r="O1" s="3671"/>
      <c r="R1" t="s">
        <v>1100</v>
      </c>
    </row>
    <row r="2" spans="4:21" ht="6" customHeight="1" thickBot="1">
      <c r="D2" s="885"/>
      <c r="E2" s="1041"/>
      <c r="F2" s="1041"/>
      <c r="G2" s="1041"/>
      <c r="H2" s="1041"/>
      <c r="I2" s="1041"/>
      <c r="J2" s="1041"/>
      <c r="K2" s="1041"/>
      <c r="L2" s="1041"/>
      <c r="O2" s="1041"/>
      <c r="R2" s="2445"/>
    </row>
    <row r="3" spans="4:21" ht="18.75" thickBot="1">
      <c r="D3" s="1372" t="s">
        <v>945</v>
      </c>
      <c r="E3" s="1279"/>
      <c r="F3" s="2061"/>
      <c r="G3" s="889"/>
      <c r="H3" s="2061"/>
      <c r="I3" s="891"/>
      <c r="J3" s="892" t="s">
        <v>2543</v>
      </c>
      <c r="K3" s="892"/>
      <c r="L3" s="2062"/>
      <c r="O3" s="1310" t="str">
        <f>IF(メイン!E39=0,"",メイン!E39)</f>
        <v>実施設計段階</v>
      </c>
      <c r="R3" s="2445" t="s">
        <v>1118</v>
      </c>
      <c r="T3" s="2445" t="s">
        <v>3954</v>
      </c>
      <c r="U3" t="str">
        <f>メイン!I37</f>
        <v>基本設計段階</v>
      </c>
    </row>
    <row r="4" spans="4:21" ht="6" customHeight="1">
      <c r="D4" s="888"/>
      <c r="E4" s="1279"/>
      <c r="F4" s="2061"/>
      <c r="G4" s="889"/>
      <c r="H4" s="2061"/>
      <c r="I4" s="2061"/>
      <c r="J4" s="2061"/>
      <c r="K4" s="2061"/>
      <c r="L4" s="2061"/>
      <c r="M4" s="2061"/>
      <c r="N4" s="2061"/>
      <c r="O4" s="2061"/>
      <c r="R4" s="2445"/>
      <c r="S4">
        <v>0</v>
      </c>
      <c r="T4" s="2445" t="s">
        <v>3955</v>
      </c>
      <c r="U4" t="str">
        <f>メイン!I38</f>
        <v>実施設計段階</v>
      </c>
    </row>
    <row r="5" spans="4:21" ht="22.5" customHeight="1">
      <c r="D5" s="1311">
        <v>1</v>
      </c>
      <c r="E5" s="895" t="s">
        <v>2163</v>
      </c>
      <c r="F5" s="2040"/>
      <c r="G5" s="1120"/>
      <c r="H5" s="1120"/>
      <c r="I5" s="1120"/>
      <c r="J5" s="979" t="e">
        <f>IF(OR(F7=0,J6=0),$R$3,"")</f>
        <v>#VALUE!</v>
      </c>
      <c r="K5" s="1120"/>
      <c r="L5" s="1120"/>
      <c r="M5" s="1120"/>
      <c r="N5" s="1120"/>
      <c r="O5" s="2062"/>
      <c r="R5" s="2445"/>
      <c r="S5">
        <v>1</v>
      </c>
      <c r="U5" t="str">
        <f>メイン!I39</f>
        <v>竣工段階</v>
      </c>
    </row>
    <row r="6" spans="4:21" ht="18.75" customHeight="1" thickBot="1">
      <c r="D6" s="1558"/>
      <c r="E6" s="1120"/>
      <c r="F6" s="1045"/>
      <c r="G6" s="904"/>
      <c r="H6" s="905" t="s">
        <v>1121</v>
      </c>
      <c r="I6" s="906"/>
      <c r="J6" s="907">
        <f>重み!M173</f>
        <v>0.33333333333333337</v>
      </c>
      <c r="K6" s="1046"/>
      <c r="L6" s="1046"/>
      <c r="M6" s="1046"/>
      <c r="N6" s="1046"/>
      <c r="O6" s="916"/>
      <c r="R6" s="2445"/>
      <c r="S6">
        <v>2</v>
      </c>
    </row>
    <row r="7" spans="4:21" ht="16.5" thickBot="1">
      <c r="D7" s="2063"/>
      <c r="E7" s="888"/>
      <c r="F7" s="2074" t="e">
        <f>ROUNDDOWN(O15,1)</f>
        <v>#VALUE!</v>
      </c>
      <c r="G7" s="2289" t="s">
        <v>662</v>
      </c>
      <c r="H7" s="1324"/>
      <c r="I7" s="1324"/>
      <c r="J7" s="1324"/>
      <c r="K7" s="1324"/>
      <c r="L7" s="2290"/>
      <c r="M7" s="1324"/>
      <c r="N7" s="1324"/>
      <c r="O7" s="1146"/>
      <c r="R7" s="2445"/>
      <c r="S7" t="s">
        <v>1135</v>
      </c>
    </row>
    <row r="8" spans="4:21" ht="17.25" customHeight="1">
      <c r="D8" s="2063"/>
      <c r="E8" s="888"/>
      <c r="F8" s="1129" t="e">
        <f>IF(F7=$S$15,$T$10,IF(ROUNDDOWN(F7,0)=$S$10,$U$10,$T$10))</f>
        <v>#VALUE!</v>
      </c>
      <c r="G8" s="2286" t="s">
        <v>3023</v>
      </c>
      <c r="H8" s="2287"/>
      <c r="I8" s="2287"/>
      <c r="J8" s="2287"/>
      <c r="K8" s="2287"/>
      <c r="L8" s="2291"/>
      <c r="M8" s="2287"/>
      <c r="N8" s="1520"/>
      <c r="O8" s="1521"/>
      <c r="R8" s="2445"/>
      <c r="S8" t="s">
        <v>1066</v>
      </c>
    </row>
    <row r="9" spans="4:21" ht="17.25" customHeight="1">
      <c r="D9" s="2063"/>
      <c r="E9" s="888"/>
      <c r="F9" s="1129" t="e">
        <f>IF(F7=$S$15,$T$11,IF(ROUNDDOWN(F7,0)=$S$11,$U$11,$T$11))</f>
        <v>#VALUE!</v>
      </c>
      <c r="G9" s="2292"/>
      <c r="H9" s="2285"/>
      <c r="I9" s="2285"/>
      <c r="J9" s="2285"/>
      <c r="K9" s="2285"/>
      <c r="L9" s="2293"/>
      <c r="M9" s="2285"/>
      <c r="N9" s="1539" t="s">
        <v>843</v>
      </c>
      <c r="O9" s="1540"/>
    </row>
    <row r="10" spans="4:21" ht="17.25" customHeight="1">
      <c r="D10" s="2063"/>
      <c r="E10" s="888"/>
      <c r="F10" s="1129" t="e">
        <f>IF(F7=$S$15,$T$12,IF(ROUNDDOWN(F7,0)=$S$12,$U$12,$T$12))</f>
        <v>#VALUE!</v>
      </c>
      <c r="G10" s="2292" t="s">
        <v>3024</v>
      </c>
      <c r="H10" s="2285"/>
      <c r="I10" s="2285"/>
      <c r="J10" s="2285"/>
      <c r="K10" s="2285"/>
      <c r="L10" s="2293"/>
      <c r="M10" s="2285"/>
      <c r="N10" s="1539" t="s">
        <v>844</v>
      </c>
      <c r="O10" s="1540"/>
      <c r="S10">
        <v>1</v>
      </c>
      <c r="T10" t="s">
        <v>2133</v>
      </c>
      <c r="U10" t="s">
        <v>2134</v>
      </c>
    </row>
    <row r="11" spans="4:21" ht="17.25" customHeight="1">
      <c r="D11" s="2063"/>
      <c r="E11" s="888"/>
      <c r="F11" s="1129" t="e">
        <f>IF(F7=$S$15,$T$13,IF(ROUNDDOWN(F7,0)=$S$13,$U$13,$T$13))</f>
        <v>#VALUE!</v>
      </c>
      <c r="G11" s="2292"/>
      <c r="H11" s="2285"/>
      <c r="I11" s="2285"/>
      <c r="J11" s="2285"/>
      <c r="K11" s="2285"/>
      <c r="L11" s="2293"/>
      <c r="M11" s="2285"/>
      <c r="N11" s="1539" t="s">
        <v>845</v>
      </c>
      <c r="O11" s="1540"/>
      <c r="S11">
        <v>2</v>
      </c>
      <c r="T11" t="s">
        <v>1101</v>
      </c>
      <c r="U11" t="s">
        <v>1102</v>
      </c>
    </row>
    <row r="12" spans="4:21" ht="17.25" customHeight="1">
      <c r="D12" s="2063"/>
      <c r="E12" s="888"/>
      <c r="F12" s="1130" t="e">
        <f>IF(F7=$S$15,$T$14,IF(ROUNDDOWN(F7,0)=$S$14,$U$14,$T$14))</f>
        <v>#VALUE!</v>
      </c>
      <c r="G12" s="2294" t="s">
        <v>3025</v>
      </c>
      <c r="H12" s="2288"/>
      <c r="I12" s="2288"/>
      <c r="J12" s="2288"/>
      <c r="K12" s="2288"/>
      <c r="L12" s="2295"/>
      <c r="M12" s="2288"/>
      <c r="N12" s="1525"/>
      <c r="O12" s="1526"/>
      <c r="S12">
        <v>3</v>
      </c>
      <c r="T12" t="s">
        <v>1107</v>
      </c>
      <c r="U12" t="s">
        <v>1108</v>
      </c>
    </row>
    <row r="13" spans="4:21" ht="15.75">
      <c r="D13" s="2063"/>
      <c r="E13" s="2063"/>
      <c r="F13" s="2063"/>
      <c r="G13" s="1561" t="s">
        <v>1128</v>
      </c>
      <c r="H13" s="1265"/>
      <c r="I13" s="1265"/>
      <c r="J13" s="1041"/>
      <c r="K13" s="1562" t="s">
        <v>1129</v>
      </c>
      <c r="L13" s="1041"/>
      <c r="M13" s="1563"/>
      <c r="N13" s="2063"/>
      <c r="O13" s="2063"/>
      <c r="S13">
        <v>4</v>
      </c>
      <c r="T13" t="s">
        <v>994</v>
      </c>
      <c r="U13" t="s">
        <v>995</v>
      </c>
    </row>
    <row r="14" spans="4:21" ht="16.5" thickBot="1">
      <c r="D14" s="2063"/>
      <c r="E14" s="888"/>
      <c r="F14" s="886"/>
      <c r="G14" s="1564"/>
      <c r="H14" s="1565" t="s">
        <v>567</v>
      </c>
      <c r="I14" s="1566" t="s">
        <v>1782</v>
      </c>
      <c r="J14" s="1567" t="s">
        <v>569</v>
      </c>
      <c r="K14" s="1565" t="s">
        <v>374</v>
      </c>
      <c r="L14" s="1564" t="s">
        <v>848</v>
      </c>
      <c r="M14" s="886"/>
      <c r="N14" s="886"/>
      <c r="O14" s="1568" t="s">
        <v>990</v>
      </c>
      <c r="S14">
        <v>5</v>
      </c>
      <c r="T14" t="s">
        <v>1001</v>
      </c>
      <c r="U14" t="s">
        <v>1002</v>
      </c>
    </row>
    <row r="15" spans="4:21" ht="16.5" thickBot="1">
      <c r="D15" s="2063"/>
      <c r="E15" s="888"/>
      <c r="F15" s="886"/>
      <c r="G15" s="1569" t="s">
        <v>1974</v>
      </c>
      <c r="H15" s="1570">
        <f>IF(メイン!I3=3,'条件(個別)'!D9,'条件(標準)'!D9)</f>
        <v>13.330629921259844</v>
      </c>
      <c r="I15" s="1570">
        <f>IF(メイン!I3=3,'条件(個別)'!D34,'条件(標準)'!D34)</f>
        <v>16.328677165354332</v>
      </c>
      <c r="J15" s="1570" t="e">
        <f>IF(メイン!I3=3,'条件(個別)'!D46,'条件(標準)'!D46)</f>
        <v>#VALUE!</v>
      </c>
      <c r="K15" s="1571" t="e">
        <f>H15+I15+J15</f>
        <v>#VALUE!</v>
      </c>
      <c r="L15" s="1572">
        <v>1</v>
      </c>
      <c r="M15" s="886"/>
      <c r="N15" s="1568" t="s">
        <v>849</v>
      </c>
      <c r="O15" s="1573" t="e">
        <f>IF(K15=0,0,ROUNDDOWN(IF(L16=R16,0,IF(L16&lt;0.5,5,IF(L16&gt;1.25,1,IF(L16&gt;1,-8*L16+11,3+(1-L16)*4)))),1))</f>
        <v>#VALUE!</v>
      </c>
      <c r="S15">
        <v>0</v>
      </c>
      <c r="T15" t="s">
        <v>991</v>
      </c>
      <c r="U15" t="s">
        <v>991</v>
      </c>
    </row>
    <row r="16" spans="4:21" ht="14.25">
      <c r="D16" s="1575"/>
      <c r="E16" s="886"/>
      <c r="F16" s="886"/>
      <c r="G16" s="1569" t="s">
        <v>1973</v>
      </c>
      <c r="H16" s="1570">
        <f>IF(メイン!I3=3,'条件(個別)'!E9,'条件(標準)'!E9)</f>
        <v>13.330629921259844</v>
      </c>
      <c r="I16" s="1570">
        <f>IF(メイン!I3=3,'条件(個別)'!E34,'条件(標準)'!E34)</f>
        <v>16.328677165354332</v>
      </c>
      <c r="J16" s="1570" t="e">
        <f>IF(メイン!I3=3,'条件(個別)'!E52,'条件(標準)'!E52)</f>
        <v>#VALUE!</v>
      </c>
      <c r="K16" s="1571" t="e">
        <f>H16+I16+J16</f>
        <v>#VALUE!</v>
      </c>
      <c r="L16" s="1574" t="e">
        <f>IF(K15=R16,R16,K16/K15)</f>
        <v>#VALUE!</v>
      </c>
      <c r="M16" s="886"/>
      <c r="N16" s="886"/>
      <c r="O16" s="886"/>
      <c r="R16" t="s">
        <v>992</v>
      </c>
    </row>
    <row r="17" spans="2:15" ht="13.5" hidden="1" customHeight="1">
      <c r="D17" s="546"/>
      <c r="E17" s="546"/>
      <c r="F17" s="546"/>
      <c r="G17" s="3116" t="s">
        <v>3956</v>
      </c>
      <c r="H17" s="546"/>
      <c r="I17" s="546"/>
      <c r="J17" s="546"/>
      <c r="K17" s="546"/>
      <c r="L17" s="546"/>
      <c r="M17" s="546"/>
      <c r="N17" s="546"/>
      <c r="O17" s="546"/>
    </row>
    <row r="18" spans="2:15" s="2445" customFormat="1" ht="13.5" customHeight="1">
      <c r="D18" s="546"/>
      <c r="E18" s="546"/>
      <c r="F18" s="546"/>
      <c r="G18" s="3116"/>
      <c r="H18" s="546"/>
      <c r="I18" s="546"/>
      <c r="J18" s="546"/>
      <c r="K18" s="546"/>
      <c r="L18" s="546"/>
      <c r="M18" s="546"/>
      <c r="N18" s="546"/>
      <c r="O18" s="546"/>
    </row>
    <row r="19" spans="2:15" ht="18.75" customHeight="1">
      <c r="D19" s="1575">
        <v>2</v>
      </c>
      <c r="E19" s="895" t="s">
        <v>2166</v>
      </c>
      <c r="F19" s="886"/>
      <c r="G19" s="886"/>
      <c r="H19" s="886"/>
      <c r="I19" s="886"/>
      <c r="J19" s="886"/>
      <c r="K19" s="886"/>
      <c r="L19" s="886"/>
      <c r="M19" s="886"/>
      <c r="N19" s="886"/>
      <c r="O19" s="886"/>
    </row>
    <row r="20" spans="2:15" ht="18.75" customHeight="1">
      <c r="D20" s="1576">
        <v>2.1</v>
      </c>
      <c r="E20" s="1279" t="s">
        <v>850</v>
      </c>
      <c r="F20" s="2040"/>
      <c r="G20" s="886"/>
      <c r="H20" s="886"/>
      <c r="I20" s="886"/>
      <c r="J20" s="979" t="str">
        <f>IF(OR(F22=0,J21=0),$R$3,"")</f>
        <v/>
      </c>
      <c r="K20" s="886"/>
      <c r="L20" s="886"/>
      <c r="M20" s="886"/>
      <c r="N20" s="886"/>
      <c r="O20" s="886"/>
    </row>
    <row r="21" spans="2:15" ht="18.75" customHeight="1" thickBot="1">
      <c r="F21" s="1045"/>
      <c r="G21" s="904"/>
      <c r="H21" s="905" t="s">
        <v>1121</v>
      </c>
      <c r="I21" s="906"/>
      <c r="J21" s="907">
        <f>重み!M175</f>
        <v>0.25</v>
      </c>
      <c r="K21" s="1046"/>
      <c r="L21" s="1046"/>
      <c r="M21" s="1046"/>
      <c r="N21" s="1046"/>
      <c r="O21" s="916"/>
    </row>
    <row r="22" spans="2:15" ht="26.25" customHeight="1" thickBot="1">
      <c r="D22" s="888"/>
      <c r="E22" s="888"/>
      <c r="F22" s="910">
        <v>3</v>
      </c>
      <c r="G22" s="914" t="s">
        <v>390</v>
      </c>
      <c r="H22" s="915"/>
      <c r="I22" s="915"/>
      <c r="J22" s="915"/>
      <c r="K22" s="915"/>
      <c r="L22" s="1244"/>
      <c r="M22" s="915"/>
      <c r="N22" s="915"/>
      <c r="O22" s="916"/>
    </row>
    <row r="23" spans="2:15" ht="33" customHeight="1">
      <c r="B23" s="1">
        <v>1</v>
      </c>
      <c r="C23" s="1">
        <v>1</v>
      </c>
      <c r="D23" s="888"/>
      <c r="E23" s="888"/>
      <c r="F23" s="922" t="str">
        <f>IF(F22=$S$15,$T$10,IF(ROUNDDOWN(F22,0)=$S$10,$U$10,$T$10))</f>
        <v>　レベル　1</v>
      </c>
      <c r="G23" s="3816" t="s">
        <v>3026</v>
      </c>
      <c r="H23" s="4025"/>
      <c r="I23" s="4025"/>
      <c r="J23" s="4025"/>
      <c r="K23" s="4025"/>
      <c r="L23" s="4025"/>
      <c r="M23" s="4025"/>
      <c r="N23" s="4025"/>
      <c r="O23" s="4026"/>
    </row>
    <row r="24" spans="2:15" ht="18.75" customHeight="1">
      <c r="B24" s="1" t="s">
        <v>185</v>
      </c>
      <c r="C24" s="1">
        <v>2</v>
      </c>
      <c r="D24" s="888"/>
      <c r="E24" s="888"/>
      <c r="F24" s="922" t="str">
        <f>IF(F22=$S$15,$T$11,IF(ROUNDDOWN(F22,0)=$S$11,$U$11,$T$11))</f>
        <v>　レベル　2</v>
      </c>
      <c r="G24" s="1559" t="s">
        <v>1788</v>
      </c>
      <c r="H24" s="2258"/>
      <c r="I24" s="2258"/>
      <c r="J24" s="2258"/>
      <c r="K24" s="2258"/>
      <c r="L24" s="2258"/>
      <c r="M24" s="2258"/>
      <c r="N24" s="927"/>
      <c r="O24" s="928"/>
    </row>
    <row r="25" spans="2:15" ht="28.5" customHeight="1">
      <c r="B25" s="1">
        <v>3</v>
      </c>
      <c r="C25" s="1">
        <v>3</v>
      </c>
      <c r="D25" s="888"/>
      <c r="E25" s="888"/>
      <c r="F25" s="922" t="str">
        <f>IF(F22=$S$15,$T$12,IF(ROUNDDOWN(F22,0)=$S$12,$U$12,$T$12))</f>
        <v>■レベル　3</v>
      </c>
      <c r="G25" s="4159" t="s">
        <v>3027</v>
      </c>
      <c r="H25" s="3705"/>
      <c r="I25" s="3705"/>
      <c r="J25" s="3705"/>
      <c r="K25" s="3705"/>
      <c r="L25" s="3705"/>
      <c r="M25" s="3705"/>
      <c r="N25" s="3705"/>
      <c r="O25" s="3706"/>
    </row>
    <row r="26" spans="2:15" ht="27" customHeight="1">
      <c r="B26" s="1">
        <v>4</v>
      </c>
      <c r="C26" s="1">
        <v>4</v>
      </c>
      <c r="D26" s="888"/>
      <c r="E26" s="888"/>
      <c r="F26" s="922" t="str">
        <f>IF(F22=$S$15,$T$13,IF(ROUNDDOWN(F22,0)=$S$13,$U$13,$T$13))</f>
        <v>　レベル　4</v>
      </c>
      <c r="G26" s="4159" t="s">
        <v>3028</v>
      </c>
      <c r="H26" s="3705"/>
      <c r="I26" s="3705"/>
      <c r="J26" s="3705"/>
      <c r="K26" s="3705"/>
      <c r="L26" s="3705"/>
      <c r="M26" s="3705"/>
      <c r="N26" s="3705"/>
      <c r="O26" s="3706"/>
    </row>
    <row r="27" spans="2:15" ht="22.5" customHeight="1">
      <c r="B27" s="1">
        <v>5</v>
      </c>
      <c r="C27" s="1">
        <v>5</v>
      </c>
      <c r="D27" s="888"/>
      <c r="E27" s="888"/>
      <c r="F27" s="933" t="str">
        <f>IF(F22=$S$15,$T$14,IF(ROUNDDOWN(F22,0)=$S$14,$U$14,$T$14))</f>
        <v>　レベル　5</v>
      </c>
      <c r="G27" s="1560" t="s">
        <v>3029</v>
      </c>
      <c r="H27" s="2259"/>
      <c r="I27" s="2259"/>
      <c r="J27" s="2259"/>
      <c r="K27" s="2259"/>
      <c r="L27" s="2259"/>
      <c r="M27" s="2259"/>
      <c r="N27" s="938"/>
      <c r="O27" s="939"/>
    </row>
    <row r="28" spans="2:15" ht="15.75">
      <c r="B28" s="940">
        <v>0</v>
      </c>
      <c r="C28" s="940">
        <v>0</v>
      </c>
      <c r="D28" s="888"/>
      <c r="E28" s="888"/>
      <c r="F28" s="1577"/>
      <c r="G28" s="1577"/>
      <c r="H28" s="1577"/>
      <c r="I28" s="1577"/>
      <c r="J28" s="1577"/>
      <c r="K28" s="1577"/>
      <c r="L28" s="1577"/>
      <c r="M28" s="1577"/>
      <c r="N28" s="1577"/>
      <c r="O28" s="1577"/>
    </row>
    <row r="29" spans="2:15" ht="24" customHeight="1">
      <c r="D29" s="1576">
        <v>2.2000000000000002</v>
      </c>
      <c r="E29" s="1321" t="s">
        <v>851</v>
      </c>
      <c r="F29" s="1578"/>
      <c r="G29" s="1578"/>
      <c r="H29" s="1578"/>
      <c r="I29" s="1578"/>
      <c r="J29" s="979" t="str">
        <f>IF(OR(F31=0,J30=0),$R$3,"")</f>
        <v/>
      </c>
      <c r="K29" s="1578"/>
      <c r="L29" s="1578"/>
      <c r="M29" s="1578"/>
      <c r="N29" s="1578"/>
      <c r="O29" s="1578"/>
    </row>
    <row r="30" spans="2:15" ht="19.5" customHeight="1" thickBot="1">
      <c r="F30" s="1045"/>
      <c r="G30" s="904"/>
      <c r="H30" s="905" t="s">
        <v>1121</v>
      </c>
      <c r="I30" s="906"/>
      <c r="J30" s="907">
        <f>重み!M176</f>
        <v>0.5</v>
      </c>
      <c r="K30" s="1046"/>
      <c r="L30" s="1046"/>
      <c r="M30" s="1046"/>
      <c r="N30" s="1046"/>
      <c r="O30" s="916"/>
    </row>
    <row r="31" spans="2:15" ht="21.75" customHeight="1" thickBot="1">
      <c r="D31" s="888"/>
      <c r="E31" s="886"/>
      <c r="F31" s="1276">
        <f>IF(H37=T4,F37,IF(H60&lt;=0,1,IF(H60&lt;=5,2,IF(H60&lt;=12,3,IF(H60&lt;=19,4,IF(H60&gt;=20,5))))))</f>
        <v>3</v>
      </c>
      <c r="G31" s="914" t="s">
        <v>390</v>
      </c>
      <c r="H31" s="915"/>
      <c r="I31" s="915"/>
      <c r="J31" s="915"/>
      <c r="K31" s="915"/>
      <c r="L31" s="1244"/>
      <c r="M31" s="915"/>
      <c r="N31" s="915"/>
      <c r="O31" s="916"/>
    </row>
    <row r="32" spans="2:15" ht="19.5" customHeight="1">
      <c r="B32" s="1">
        <v>1</v>
      </c>
      <c r="C32" s="1">
        <v>1</v>
      </c>
      <c r="D32" s="888"/>
      <c r="E32" s="886"/>
      <c r="F32" s="922" t="str">
        <f>IF(F31=$S$15,$T$10,IF(ROUNDDOWN(F31,0)=$S$10,$U$10,$T$10))</f>
        <v>　レベル　1</v>
      </c>
      <c r="G32" s="1149" t="s">
        <v>979</v>
      </c>
      <c r="H32" s="1150"/>
      <c r="I32" s="1150"/>
      <c r="J32" s="1150"/>
      <c r="K32" s="1150"/>
      <c r="L32" s="1150"/>
      <c r="M32" s="1150"/>
      <c r="N32" s="920"/>
      <c r="O32" s="921"/>
    </row>
    <row r="33" spans="2:18" ht="19.5" customHeight="1">
      <c r="B33" s="1">
        <v>2</v>
      </c>
      <c r="C33" s="1">
        <v>2</v>
      </c>
      <c r="D33" s="888"/>
      <c r="E33" s="886"/>
      <c r="F33" s="922" t="str">
        <f>IF(F31=$S$15,$T$11,IF(ROUNDDOWN(F31,0)=$S$11,$U$11,$T$11))</f>
        <v>　レベル　2</v>
      </c>
      <c r="G33" s="1559" t="s">
        <v>980</v>
      </c>
      <c r="H33" s="2064"/>
      <c r="I33" s="2064"/>
      <c r="J33" s="2064"/>
      <c r="K33" s="2064"/>
      <c r="L33" s="2064"/>
      <c r="M33" s="2064"/>
      <c r="N33" s="927"/>
      <c r="O33" s="928"/>
    </row>
    <row r="34" spans="2:18" ht="19.5" customHeight="1">
      <c r="B34" s="1">
        <v>3</v>
      </c>
      <c r="C34" s="1">
        <v>3</v>
      </c>
      <c r="D34" s="888"/>
      <c r="E34" s="886"/>
      <c r="F34" s="922" t="str">
        <f>IF(F31=$S$15,$T$12,IF(ROUNDDOWN(F31,0)=$S$12,$U$12,$T$12))</f>
        <v>■レベル　3</v>
      </c>
      <c r="G34" s="1559" t="s">
        <v>2049</v>
      </c>
      <c r="H34" s="2064"/>
      <c r="I34" s="2064"/>
      <c r="J34" s="2064"/>
      <c r="K34" s="2064"/>
      <c r="L34" s="2064"/>
      <c r="M34" s="2064"/>
      <c r="N34" s="927"/>
      <c r="O34" s="928"/>
    </row>
    <row r="35" spans="2:18" ht="19.5" customHeight="1">
      <c r="B35" s="1">
        <v>4</v>
      </c>
      <c r="C35" s="1">
        <v>4</v>
      </c>
      <c r="D35" s="888"/>
      <c r="E35" s="886"/>
      <c r="F35" s="922" t="str">
        <f>IF(F31=$S$15,$T$13,IF(ROUNDDOWN(F31,0)=$S$13,$U$13,$T$13))</f>
        <v>　レベル　4</v>
      </c>
      <c r="G35" s="1559" t="s">
        <v>2050</v>
      </c>
      <c r="H35" s="2064"/>
      <c r="I35" s="2064"/>
      <c r="J35" s="2064"/>
      <c r="K35" s="2064"/>
      <c r="L35" s="2064"/>
      <c r="M35" s="2064"/>
      <c r="N35" s="927"/>
      <c r="O35" s="928"/>
    </row>
    <row r="36" spans="2:18" ht="19.5" customHeight="1">
      <c r="B36" s="1">
        <v>5</v>
      </c>
      <c r="C36" s="1">
        <v>5</v>
      </c>
      <c r="D36" s="888"/>
      <c r="E36" s="886"/>
      <c r="F36" s="933" t="str">
        <f>IF(F31=$S$15,$T$14,IF(ROUNDDOWN(F31,0)=$S$14,$U$14,$T$14))</f>
        <v>　レベル　5</v>
      </c>
      <c r="G36" s="1560" t="s">
        <v>2051</v>
      </c>
      <c r="H36" s="2065"/>
      <c r="I36" s="2065"/>
      <c r="J36" s="2065"/>
      <c r="K36" s="2065"/>
      <c r="L36" s="2065"/>
      <c r="M36" s="2065"/>
      <c r="N36" s="938"/>
      <c r="O36" s="939"/>
    </row>
    <row r="37" spans="2:18" s="2445" customFormat="1" ht="19.5" hidden="1" customHeight="1" thickBot="1">
      <c r="B37" s="940">
        <v>0</v>
      </c>
      <c r="C37" s="940">
        <v>0</v>
      </c>
      <c r="D37" s="888"/>
      <c r="E37" s="886"/>
      <c r="F37" s="910">
        <v>0</v>
      </c>
      <c r="G37" s="1138" t="s">
        <v>2193</v>
      </c>
      <c r="H37" s="3089" t="s">
        <v>3822</v>
      </c>
    </row>
    <row r="38" spans="2:18" ht="21" customHeight="1">
      <c r="D38" s="1120"/>
      <c r="E38" s="1120"/>
      <c r="F38" s="1120"/>
      <c r="G38" s="1278" t="s">
        <v>2203</v>
      </c>
      <c r="H38" s="1120"/>
      <c r="I38" s="2066"/>
      <c r="J38" s="2066"/>
      <c r="K38" s="2039"/>
      <c r="L38" s="2039"/>
      <c r="M38" s="2039"/>
      <c r="N38" s="2039"/>
      <c r="O38" s="889"/>
    </row>
    <row r="39" spans="2:18" ht="16.5" thickBot="1">
      <c r="D39" s="888"/>
      <c r="E39" s="889"/>
      <c r="F39" s="888"/>
      <c r="G39" s="1280" t="s">
        <v>187</v>
      </c>
      <c r="H39" s="3888" t="s">
        <v>2052</v>
      </c>
      <c r="I39" s="3889"/>
      <c r="J39" s="3890"/>
      <c r="K39" s="4160" t="s">
        <v>852</v>
      </c>
      <c r="L39" s="4161"/>
      <c r="M39" s="4161"/>
      <c r="N39" s="4162"/>
      <c r="O39" s="1068" t="s">
        <v>2053</v>
      </c>
      <c r="P39" s="140"/>
      <c r="Q39" s="140"/>
      <c r="R39" s="140"/>
    </row>
    <row r="40" spans="2:18" ht="42" customHeight="1">
      <c r="D40" s="888"/>
      <c r="E40" s="889"/>
      <c r="F40" s="888"/>
      <c r="G40" s="4108">
        <v>2</v>
      </c>
      <c r="H40" s="4175" t="s">
        <v>3957</v>
      </c>
      <c r="I40" s="4169" t="s">
        <v>1831</v>
      </c>
      <c r="J40" s="4170"/>
      <c r="K40" s="4166" t="s">
        <v>2054</v>
      </c>
      <c r="L40" s="4167"/>
      <c r="M40" s="4167"/>
      <c r="N40" s="4168"/>
      <c r="O40" s="4015" t="s">
        <v>190</v>
      </c>
      <c r="P40" s="140"/>
      <c r="Q40" s="140"/>
      <c r="R40" s="140"/>
    </row>
    <row r="41" spans="2:18" ht="42" customHeight="1">
      <c r="B41" s="1094" t="s">
        <v>1832</v>
      </c>
      <c r="D41" s="888"/>
      <c r="E41" s="889"/>
      <c r="F41" s="888"/>
      <c r="G41" s="3875"/>
      <c r="H41" s="4176"/>
      <c r="I41" s="4171"/>
      <c r="J41" s="4172"/>
      <c r="K41" s="4129" t="s">
        <v>1833</v>
      </c>
      <c r="L41" s="4001"/>
      <c r="M41" s="4001"/>
      <c r="N41" s="4002"/>
      <c r="O41" s="4163"/>
      <c r="P41" s="140"/>
      <c r="Q41" s="140"/>
      <c r="R41" s="140"/>
    </row>
    <row r="42" spans="2:18" ht="30.75" customHeight="1">
      <c r="D42" s="888"/>
      <c r="E42" s="889"/>
      <c r="F42" s="888"/>
      <c r="G42" s="3874">
        <v>2</v>
      </c>
      <c r="H42" s="4180" t="s">
        <v>3958</v>
      </c>
      <c r="I42" s="4121" t="s">
        <v>673</v>
      </c>
      <c r="J42" s="4122"/>
      <c r="K42" s="4121" t="s">
        <v>674</v>
      </c>
      <c r="L42" s="4177"/>
      <c r="M42" s="4177"/>
      <c r="N42" s="4122"/>
      <c r="O42" s="4164" t="s">
        <v>2055</v>
      </c>
      <c r="P42" s="140"/>
      <c r="Q42" s="140"/>
      <c r="R42" s="140"/>
    </row>
    <row r="43" spans="2:18" ht="36" customHeight="1">
      <c r="D43" s="888"/>
      <c r="E43" s="889"/>
      <c r="F43" s="888"/>
      <c r="G43" s="4053"/>
      <c r="H43" s="4181"/>
      <c r="I43" s="4173"/>
      <c r="J43" s="4174"/>
      <c r="K43" s="4178" t="s">
        <v>1014</v>
      </c>
      <c r="L43" s="4179"/>
      <c r="M43" s="4179"/>
      <c r="N43" s="4172"/>
      <c r="O43" s="4182"/>
      <c r="P43" s="140"/>
      <c r="Q43" s="140"/>
      <c r="R43" s="140"/>
    </row>
    <row r="44" spans="2:18" ht="29.25" customHeight="1">
      <c r="D44" s="888"/>
      <c r="E44" s="889"/>
      <c r="F44" s="888"/>
      <c r="G44" s="3874">
        <v>2</v>
      </c>
      <c r="H44" s="4181"/>
      <c r="I44" s="4173"/>
      <c r="J44" s="4174"/>
      <c r="K44" s="4121" t="s">
        <v>675</v>
      </c>
      <c r="L44" s="4177"/>
      <c r="M44" s="4177"/>
      <c r="N44" s="4122"/>
      <c r="O44" s="4164" t="s">
        <v>189</v>
      </c>
      <c r="P44" s="140"/>
      <c r="Q44" s="140"/>
      <c r="R44" s="140"/>
    </row>
    <row r="45" spans="2:18" ht="55.5" customHeight="1">
      <c r="D45" s="888"/>
      <c r="E45" s="889"/>
      <c r="F45" s="888"/>
      <c r="G45" s="3875"/>
      <c r="H45" s="4181"/>
      <c r="I45" s="4173"/>
      <c r="J45" s="4174"/>
      <c r="K45" s="4178" t="s">
        <v>1015</v>
      </c>
      <c r="L45" s="4179"/>
      <c r="M45" s="4179"/>
      <c r="N45" s="4172"/>
      <c r="O45" s="4163"/>
      <c r="P45" s="140"/>
      <c r="Q45" s="140"/>
      <c r="R45" s="140"/>
    </row>
    <row r="46" spans="2:18" ht="30" customHeight="1">
      <c r="D46" s="888"/>
      <c r="E46" s="889"/>
      <c r="F46" s="888"/>
      <c r="G46" s="3874">
        <v>0</v>
      </c>
      <c r="H46" s="4181"/>
      <c r="I46" s="4173"/>
      <c r="J46" s="4174"/>
      <c r="K46" s="4121" t="s">
        <v>676</v>
      </c>
      <c r="L46" s="4177"/>
      <c r="M46" s="4177"/>
      <c r="N46" s="4122"/>
      <c r="O46" s="4164" t="s">
        <v>189</v>
      </c>
      <c r="P46" s="140"/>
      <c r="Q46" s="140"/>
      <c r="R46" s="140"/>
    </row>
    <row r="47" spans="2:18" ht="57.75" customHeight="1">
      <c r="D47" s="888"/>
      <c r="E47" s="889"/>
      <c r="F47" s="888"/>
      <c r="G47" s="3875"/>
      <c r="H47" s="4181"/>
      <c r="I47" s="4171"/>
      <c r="J47" s="4172"/>
      <c r="K47" s="4178" t="s">
        <v>2066</v>
      </c>
      <c r="L47" s="4179"/>
      <c r="M47" s="4179"/>
      <c r="N47" s="4172"/>
      <c r="O47" s="4016"/>
      <c r="P47" s="140"/>
      <c r="Q47" s="140"/>
      <c r="R47" s="140"/>
    </row>
    <row r="48" spans="2:18" ht="20.25" customHeight="1">
      <c r="D48" s="888"/>
      <c r="E48" s="889"/>
      <c r="F48" s="888"/>
      <c r="G48" s="3874">
        <v>0</v>
      </c>
      <c r="H48" s="4181"/>
      <c r="I48" s="4121" t="s">
        <v>677</v>
      </c>
      <c r="J48" s="4122"/>
      <c r="K48" s="4121" t="s">
        <v>678</v>
      </c>
      <c r="L48" s="4177"/>
      <c r="M48" s="4177"/>
      <c r="N48" s="4122"/>
      <c r="O48" s="4164" t="s">
        <v>189</v>
      </c>
      <c r="P48" s="140"/>
      <c r="Q48" s="140"/>
      <c r="R48" s="140"/>
    </row>
    <row r="49" spans="4:18" ht="55.5" customHeight="1">
      <c r="D49" s="888"/>
      <c r="E49" s="889"/>
      <c r="F49" s="888"/>
      <c r="G49" s="3875"/>
      <c r="H49" s="4181"/>
      <c r="I49" s="4171"/>
      <c r="J49" s="4172"/>
      <c r="K49" s="4178" t="s">
        <v>2067</v>
      </c>
      <c r="L49" s="4179"/>
      <c r="M49" s="4179"/>
      <c r="N49" s="4172"/>
      <c r="O49" s="4165"/>
      <c r="P49" s="140"/>
      <c r="Q49" s="140"/>
      <c r="R49" s="140"/>
    </row>
    <row r="50" spans="4:18" ht="20.25" customHeight="1">
      <c r="D50" s="888"/>
      <c r="E50" s="889"/>
      <c r="F50" s="888"/>
      <c r="G50" s="3874">
        <v>0</v>
      </c>
      <c r="H50" s="4181"/>
      <c r="I50" s="4121" t="s">
        <v>679</v>
      </c>
      <c r="J50" s="4122"/>
      <c r="K50" s="4121" t="s">
        <v>680</v>
      </c>
      <c r="L50" s="4177"/>
      <c r="M50" s="4177"/>
      <c r="N50" s="4122"/>
      <c r="O50" s="4164" t="s">
        <v>189</v>
      </c>
      <c r="P50" s="140"/>
      <c r="Q50" s="140"/>
      <c r="R50" s="140"/>
    </row>
    <row r="51" spans="4:18" ht="55.5" customHeight="1">
      <c r="D51" s="888"/>
      <c r="E51" s="889"/>
      <c r="F51" s="888"/>
      <c r="G51" s="3875"/>
      <c r="H51" s="4181"/>
      <c r="I51" s="4173"/>
      <c r="J51" s="4174"/>
      <c r="K51" s="4178" t="s">
        <v>2068</v>
      </c>
      <c r="L51" s="4179"/>
      <c r="M51" s="4179"/>
      <c r="N51" s="4172"/>
      <c r="O51" s="4163"/>
      <c r="P51" s="140"/>
      <c r="Q51" s="140"/>
      <c r="R51" s="140"/>
    </row>
    <row r="52" spans="4:18" ht="20.25" customHeight="1">
      <c r="D52" s="888"/>
      <c r="E52" s="889"/>
      <c r="F52" s="888"/>
      <c r="G52" s="3874">
        <v>0</v>
      </c>
      <c r="H52" s="4181"/>
      <c r="I52" s="4173"/>
      <c r="J52" s="4174"/>
      <c r="K52" s="4121" t="s">
        <v>681</v>
      </c>
      <c r="L52" s="4177"/>
      <c r="M52" s="4177"/>
      <c r="N52" s="4122"/>
      <c r="O52" s="4164" t="s">
        <v>189</v>
      </c>
      <c r="P52" s="140"/>
      <c r="Q52" s="140"/>
      <c r="R52" s="140"/>
    </row>
    <row r="53" spans="4:18" ht="58.5" customHeight="1">
      <c r="D53" s="888"/>
      <c r="E53" s="889"/>
      <c r="F53" s="888"/>
      <c r="G53" s="3875"/>
      <c r="H53" s="4181"/>
      <c r="I53" s="4171"/>
      <c r="J53" s="4172"/>
      <c r="K53" s="4178" t="s">
        <v>2069</v>
      </c>
      <c r="L53" s="4179"/>
      <c r="M53" s="4179"/>
      <c r="N53" s="4172"/>
      <c r="O53" s="4163"/>
      <c r="P53" s="140"/>
      <c r="Q53" s="140"/>
      <c r="R53" s="140"/>
    </row>
    <row r="54" spans="4:18" ht="30.75" customHeight="1">
      <c r="D54" s="888"/>
      <c r="E54" s="889"/>
      <c r="F54" s="888"/>
      <c r="G54" s="3874">
        <v>0</v>
      </c>
      <c r="H54" s="4181"/>
      <c r="I54" s="4121" t="s">
        <v>682</v>
      </c>
      <c r="J54" s="4122"/>
      <c r="K54" s="4121" t="s">
        <v>683</v>
      </c>
      <c r="L54" s="4177"/>
      <c r="M54" s="4177"/>
      <c r="N54" s="4122"/>
      <c r="O54" s="4164" t="s">
        <v>189</v>
      </c>
      <c r="P54" s="140"/>
      <c r="Q54" s="140"/>
      <c r="R54" s="140"/>
    </row>
    <row r="55" spans="4:18" ht="56.25" customHeight="1">
      <c r="D55" s="888"/>
      <c r="E55" s="889"/>
      <c r="F55" s="888"/>
      <c r="G55" s="3875"/>
      <c r="H55" s="4181"/>
      <c r="I55" s="4173"/>
      <c r="J55" s="4174"/>
      <c r="K55" s="4178" t="s">
        <v>2070</v>
      </c>
      <c r="L55" s="4179"/>
      <c r="M55" s="4179"/>
      <c r="N55" s="4172"/>
      <c r="O55" s="4165"/>
      <c r="P55" s="140"/>
      <c r="Q55" s="140"/>
      <c r="R55" s="140"/>
    </row>
    <row r="56" spans="4:18" ht="27" customHeight="1">
      <c r="D56" s="888"/>
      <c r="E56" s="889"/>
      <c r="F56" s="888"/>
      <c r="G56" s="3874">
        <v>0</v>
      </c>
      <c r="H56" s="4181"/>
      <c r="I56" s="4173"/>
      <c r="J56" s="4174"/>
      <c r="K56" s="4121" t="s">
        <v>684</v>
      </c>
      <c r="L56" s="4177"/>
      <c r="M56" s="4177"/>
      <c r="N56" s="4122"/>
      <c r="O56" s="4164" t="s">
        <v>189</v>
      </c>
      <c r="P56" s="140"/>
      <c r="Q56" s="140"/>
      <c r="R56" s="140"/>
    </row>
    <row r="57" spans="4:18" ht="90" customHeight="1">
      <c r="D57" s="888"/>
      <c r="E57" s="889"/>
      <c r="F57" s="888"/>
      <c r="G57" s="3875"/>
      <c r="H57" s="4176"/>
      <c r="I57" s="4171"/>
      <c r="J57" s="4172"/>
      <c r="K57" s="4178" t="s">
        <v>3281</v>
      </c>
      <c r="L57" s="4179"/>
      <c r="M57" s="4179"/>
      <c r="N57" s="4172"/>
      <c r="O57" s="4163"/>
      <c r="P57" s="140"/>
      <c r="Q57" s="140"/>
      <c r="R57" s="140"/>
    </row>
    <row r="58" spans="4:18" ht="32.25" customHeight="1">
      <c r="D58" s="888"/>
      <c r="E58" s="889"/>
      <c r="F58" s="888"/>
      <c r="G58" s="3874">
        <v>0</v>
      </c>
      <c r="H58" s="4180" t="s">
        <v>3959</v>
      </c>
      <c r="I58" s="4121" t="s">
        <v>685</v>
      </c>
      <c r="J58" s="4122"/>
      <c r="K58" s="4121" t="s">
        <v>985</v>
      </c>
      <c r="L58" s="4177"/>
      <c r="M58" s="4177"/>
      <c r="N58" s="4122"/>
      <c r="O58" s="4164" t="s">
        <v>190</v>
      </c>
      <c r="P58" s="140"/>
      <c r="Q58" s="140"/>
      <c r="R58" s="140"/>
    </row>
    <row r="59" spans="4:18" ht="30.75" customHeight="1" thickBot="1">
      <c r="D59" s="888"/>
      <c r="E59" s="889"/>
      <c r="F59" s="888"/>
      <c r="G59" s="3877"/>
      <c r="H59" s="4185"/>
      <c r="I59" s="4123"/>
      <c r="J59" s="4124"/>
      <c r="K59" s="4129" t="s">
        <v>686</v>
      </c>
      <c r="L59" s="4001"/>
      <c r="M59" s="4001"/>
      <c r="N59" s="4002"/>
      <c r="O59" s="4184"/>
      <c r="P59" s="140"/>
      <c r="Q59" s="140"/>
      <c r="R59" s="140"/>
    </row>
    <row r="60" spans="4:18" ht="15.75">
      <c r="D60" s="888"/>
      <c r="E60" s="889"/>
      <c r="F60" s="888"/>
      <c r="G60" s="1170" t="s">
        <v>1454</v>
      </c>
      <c r="H60" s="3033">
        <f>SUM(G40:G59)</f>
        <v>6</v>
      </c>
      <c r="I60" s="3032" t="s">
        <v>3960</v>
      </c>
      <c r="J60" s="3119"/>
      <c r="K60" s="1172"/>
      <c r="L60" s="1173"/>
      <c r="M60" s="1172"/>
      <c r="N60" s="1173"/>
      <c r="O60" s="1281"/>
      <c r="P60" s="140"/>
      <c r="Q60" s="140"/>
      <c r="R60" s="140"/>
    </row>
    <row r="61" spans="4:18" ht="15" customHeight="1">
      <c r="D61" s="888"/>
      <c r="E61" s="888"/>
      <c r="F61" s="888"/>
      <c r="G61" s="1579"/>
      <c r="H61" s="1579"/>
      <c r="I61" s="1580"/>
      <c r="J61" s="1581"/>
      <c r="K61" s="1581"/>
      <c r="L61" s="2067"/>
      <c r="M61" s="889"/>
      <c r="N61" s="889"/>
      <c r="O61" s="889"/>
    </row>
    <row r="62" spans="4:18" ht="14.25" customHeight="1">
      <c r="D62" s="1576">
        <v>2.2999999999999998</v>
      </c>
      <c r="E62" s="895" t="s">
        <v>532</v>
      </c>
      <c r="F62" s="896"/>
      <c r="G62" s="889"/>
      <c r="H62" s="896"/>
      <c r="I62" s="895"/>
      <c r="J62" s="895"/>
      <c r="K62" s="895"/>
      <c r="L62" s="895"/>
      <c r="M62" s="895"/>
      <c r="N62" s="1375"/>
      <c r="O62" s="896"/>
    </row>
    <row r="63" spans="4:18" ht="14.25" customHeight="1">
      <c r="D63" s="1576"/>
      <c r="E63" s="895"/>
      <c r="F63" s="1435" t="s">
        <v>986</v>
      </c>
      <c r="G63" s="889"/>
      <c r="H63" s="896"/>
      <c r="I63" s="895"/>
      <c r="J63" s="895" t="str">
        <f>IF(OR(F65=0,J64=0),$R$3,"")</f>
        <v/>
      </c>
      <c r="K63" s="895"/>
      <c r="L63" s="895"/>
      <c r="M63" s="895"/>
      <c r="N63" s="1375"/>
      <c r="O63" s="896"/>
    </row>
    <row r="64" spans="4:18" ht="18" customHeight="1" thickBot="1">
      <c r="D64" s="1576"/>
      <c r="E64" s="1375"/>
      <c r="F64" s="1045"/>
      <c r="G64" s="904"/>
      <c r="H64" s="905" t="s">
        <v>1121</v>
      </c>
      <c r="I64" s="906"/>
      <c r="J64" s="907">
        <f>重み!M178</f>
        <v>0.25</v>
      </c>
      <c r="K64" s="1046"/>
      <c r="L64" s="1046"/>
      <c r="M64" s="1046"/>
      <c r="N64" s="1046"/>
      <c r="O64" s="916"/>
    </row>
    <row r="65" spans="2:15" ht="17.25" customHeight="1" thickBot="1">
      <c r="F65" s="910">
        <v>1</v>
      </c>
      <c r="G65" s="914" t="s">
        <v>4128</v>
      </c>
      <c r="H65" s="915"/>
      <c r="I65" s="915"/>
      <c r="J65" s="915"/>
      <c r="K65" s="915"/>
      <c r="L65" s="3018"/>
      <c r="M65" s="997"/>
      <c r="N65" s="997"/>
      <c r="O65" s="1011"/>
    </row>
    <row r="66" spans="2:15" ht="17.25" customHeight="1">
      <c r="B66" s="1128">
        <v>1</v>
      </c>
      <c r="C66" s="1">
        <v>1</v>
      </c>
      <c r="F66" s="922" t="str">
        <f>IF(F65=$S$15,$T$10,IF(ROUNDDOWN(F65,0)=$S$10,$U$10,$T$10))</f>
        <v>■レベル　1</v>
      </c>
      <c r="G66" s="3373" t="s">
        <v>4131</v>
      </c>
      <c r="H66" s="1150"/>
      <c r="I66" s="1150"/>
      <c r="J66" s="1150"/>
      <c r="K66" s="1150"/>
      <c r="L66" s="1150"/>
      <c r="M66" s="1150"/>
      <c r="N66" s="1150"/>
      <c r="O66" s="1151"/>
    </row>
    <row r="67" spans="2:15" ht="24.75" customHeight="1">
      <c r="B67" s="1">
        <v>2</v>
      </c>
      <c r="C67" s="1">
        <v>2</v>
      </c>
      <c r="F67" s="922" t="str">
        <f>IF(F65=$S$15,$T$11,IF(ROUNDDOWN(F65,0)=$S$11,$U$11,$T$11))</f>
        <v>　レベル　2</v>
      </c>
      <c r="G67" s="1559" t="s">
        <v>4133</v>
      </c>
      <c r="H67" s="2064"/>
      <c r="I67" s="2064"/>
      <c r="J67" s="2064"/>
      <c r="K67" s="2064"/>
      <c r="L67" s="2258"/>
      <c r="M67" s="2258"/>
      <c r="N67" s="3117"/>
      <c r="O67" s="3118"/>
    </row>
    <row r="68" spans="2:15" ht="24.75" customHeight="1">
      <c r="B68" s="1">
        <v>3</v>
      </c>
      <c r="C68" s="1">
        <v>3</v>
      </c>
      <c r="F68" s="922" t="str">
        <f>IF(F65=$S$15,$T$12,IF(ROUNDDOWN(F65,0)=$S$12,$U$12,$T$12))</f>
        <v>　レベル　3</v>
      </c>
      <c r="G68" s="1559" t="s">
        <v>4134</v>
      </c>
      <c r="H68" s="2064"/>
      <c r="I68" s="2064"/>
      <c r="J68" s="2064"/>
      <c r="K68" s="2064"/>
      <c r="L68" s="1618"/>
      <c r="M68" s="2258"/>
      <c r="N68" s="3117"/>
      <c r="O68" s="3118"/>
    </row>
    <row r="69" spans="2:15" ht="24.75" customHeight="1">
      <c r="B69" s="1">
        <v>4</v>
      </c>
      <c r="C69" s="1">
        <v>4</v>
      </c>
      <c r="F69" s="922" t="str">
        <f>IF(F65=$S$15,$T$13,IF(ROUNDDOWN(F65,0)=$S$13,$U$13,$T$13))</f>
        <v>　レベル　4</v>
      </c>
      <c r="G69" s="4132" t="s">
        <v>4135</v>
      </c>
      <c r="H69" s="4133"/>
      <c r="I69" s="4133"/>
      <c r="J69" s="4133"/>
      <c r="K69" s="4133"/>
      <c r="L69" s="1618"/>
      <c r="M69" s="2258"/>
      <c r="N69" s="3117"/>
      <c r="O69" s="3118"/>
    </row>
    <row r="70" spans="2:15" ht="24.75" customHeight="1">
      <c r="B70" s="1" t="s">
        <v>185</v>
      </c>
      <c r="C70" s="1">
        <v>5</v>
      </c>
      <c r="F70" s="933" t="str">
        <f>IF(F65=$S$15,$T$14,IF(ROUNDDOWN(F65,0)=$S$14,$U$14,$T$14))</f>
        <v>　レベル　5</v>
      </c>
      <c r="G70" s="1560" t="s">
        <v>4132</v>
      </c>
      <c r="H70" s="2065"/>
      <c r="I70" s="2065"/>
      <c r="J70" s="2065"/>
      <c r="K70" s="2065"/>
      <c r="L70" s="2259"/>
      <c r="M70" s="2259"/>
      <c r="N70" s="1156"/>
      <c r="O70" s="1157"/>
    </row>
    <row r="71" spans="2:15">
      <c r="B71" s="940">
        <v>0</v>
      </c>
      <c r="C71" s="940">
        <v>0</v>
      </c>
    </row>
    <row r="72" spans="2:15" ht="16.5" customHeight="1">
      <c r="F72" s="1435" t="s">
        <v>987</v>
      </c>
      <c r="J72" s="979" t="str">
        <f>IF(OR(F74=0,J73=0),$R$3,"")</f>
        <v/>
      </c>
    </row>
    <row r="73" spans="2:15" ht="19.5" customHeight="1" thickBot="1">
      <c r="D73" s="1576"/>
      <c r="E73" s="546"/>
      <c r="F73" s="1045"/>
      <c r="G73" s="904"/>
      <c r="H73" s="905" t="s">
        <v>1121</v>
      </c>
      <c r="I73" s="906"/>
      <c r="J73" s="907">
        <f>重み!M179</f>
        <v>0.25</v>
      </c>
      <c r="K73" s="1046"/>
      <c r="L73" s="1046"/>
      <c r="M73" s="1046"/>
      <c r="N73" s="1046"/>
      <c r="O73" s="916"/>
    </row>
    <row r="74" spans="2:15" ht="19.5" customHeight="1" thickBot="1">
      <c r="F74" s="910">
        <v>3</v>
      </c>
      <c r="G74" s="914" t="s">
        <v>4128</v>
      </c>
      <c r="H74" s="915"/>
      <c r="I74" s="915"/>
      <c r="J74" s="915"/>
      <c r="K74" s="915"/>
      <c r="L74" s="1244"/>
      <c r="M74" s="915"/>
      <c r="N74" s="915"/>
      <c r="O74" s="916"/>
    </row>
    <row r="75" spans="2:15" ht="19.5" customHeight="1">
      <c r="B75" s="1491" t="s">
        <v>1246</v>
      </c>
      <c r="C75" s="1">
        <v>1</v>
      </c>
      <c r="F75" s="922" t="str">
        <f>IF(F74=$S$15,$T$10,IF(ROUNDDOWN(F74,0)=$S$10,$U$10,$T$10))</f>
        <v>　レベル　1</v>
      </c>
      <c r="G75" s="919" t="s">
        <v>1788</v>
      </c>
      <c r="H75" s="1150"/>
      <c r="I75" s="1150"/>
      <c r="J75" s="1150"/>
      <c r="K75" s="1150"/>
      <c r="L75" s="1150"/>
      <c r="M75" s="1150"/>
      <c r="N75" s="920"/>
      <c r="O75" s="921"/>
    </row>
    <row r="76" spans="2:15" ht="19.5" customHeight="1">
      <c r="B76" s="1" t="s">
        <v>1246</v>
      </c>
      <c r="C76" s="1">
        <v>2</v>
      </c>
      <c r="F76" s="922" t="str">
        <f>IF(F74=$S$15,$T$11,IF(ROUNDDOWN(F74,0)=$S$11,$U$11,$T$11))</f>
        <v>　レベル　2</v>
      </c>
      <c r="G76" s="1559" t="s">
        <v>1788</v>
      </c>
      <c r="H76" s="2064"/>
      <c r="I76" s="2064"/>
      <c r="J76" s="2064"/>
      <c r="K76" s="2064"/>
      <c r="L76" s="2064"/>
      <c r="M76" s="2064"/>
      <c r="N76" s="927"/>
      <c r="O76" s="928"/>
    </row>
    <row r="77" spans="2:15" ht="19.5" customHeight="1">
      <c r="B77" s="1">
        <v>3</v>
      </c>
      <c r="C77" s="1">
        <v>3</v>
      </c>
      <c r="F77" s="922" t="str">
        <f>IF(F74=$S$15,$T$12,IF(ROUNDDOWN(F74,0)=$S$12,$U$12,$T$12))</f>
        <v>■レベル　3</v>
      </c>
      <c r="G77" s="1559" t="s">
        <v>4129</v>
      </c>
      <c r="H77" s="2064"/>
      <c r="I77" s="2064"/>
      <c r="J77" s="2064"/>
      <c r="K77" s="2064"/>
      <c r="L77" s="2064"/>
      <c r="M77" s="2064"/>
      <c r="N77" s="927"/>
      <c r="O77" s="928"/>
    </row>
    <row r="78" spans="2:15" ht="19.5" customHeight="1">
      <c r="B78" s="1">
        <v>4</v>
      </c>
      <c r="C78" s="1">
        <v>4</v>
      </c>
      <c r="F78" s="922" t="str">
        <f>IF(F74=$S$15,$T$13,IF(ROUNDDOWN(F74,0)=$S$13,$U$13,$T$13))</f>
        <v>　レベル　4</v>
      </c>
      <c r="G78" s="1559" t="s">
        <v>4130</v>
      </c>
      <c r="H78" s="2064"/>
      <c r="I78" s="2064"/>
      <c r="J78" s="2064"/>
      <c r="K78" s="2064"/>
      <c r="L78" s="2064"/>
      <c r="M78" s="2064"/>
      <c r="N78" s="927"/>
      <c r="O78" s="928"/>
    </row>
    <row r="79" spans="2:15" ht="19.5" customHeight="1">
      <c r="B79" s="1" t="s">
        <v>1787</v>
      </c>
      <c r="C79" s="1">
        <v>5</v>
      </c>
      <c r="F79" s="933" t="str">
        <f>IF(F74=$S$15,$T$14,IF(ROUNDDOWN(F74,0)=$S$14,$U$14,$T$14))</f>
        <v>　レベル　5</v>
      </c>
      <c r="G79" s="1560" t="s">
        <v>1788</v>
      </c>
      <c r="H79" s="2065"/>
      <c r="I79" s="2065"/>
      <c r="J79" s="2065"/>
      <c r="K79" s="2065"/>
      <c r="L79" s="2065"/>
      <c r="M79" s="2065"/>
      <c r="N79" s="938"/>
      <c r="O79" s="939"/>
    </row>
    <row r="80" spans="2:15" ht="13.5" customHeight="1">
      <c r="B80" s="940">
        <v>0</v>
      </c>
      <c r="C80" s="940">
        <v>0</v>
      </c>
    </row>
    <row r="81" spans="4:15" ht="13.5" customHeight="1">
      <c r="F81" s="1435" t="s">
        <v>988</v>
      </c>
      <c r="J81" s="979" t="str">
        <f>IF(OR(F83=0,J82=0),$R$3,"")</f>
        <v/>
      </c>
    </row>
    <row r="82" spans="4:15" ht="14.25" customHeight="1" thickBot="1">
      <c r="D82" s="1576"/>
      <c r="E82" s="546"/>
      <c r="F82" s="1045"/>
      <c r="G82" s="904"/>
      <c r="H82" s="905" t="s">
        <v>1121</v>
      </c>
      <c r="I82" s="906"/>
      <c r="J82" s="907">
        <f>重み!M180</f>
        <v>0.25</v>
      </c>
      <c r="K82" s="1046"/>
      <c r="L82" s="1046"/>
      <c r="M82" s="1046"/>
      <c r="N82" s="1046"/>
      <c r="O82" s="916"/>
    </row>
    <row r="83" spans="4:15" ht="22.5" customHeight="1" thickBot="1">
      <c r="F83" s="1276">
        <f>IF(H99=0,1,IF(H99=1,2,IF(H99=2,3,IF(H99=3,4,IF(H99&gt;=4,5)))))</f>
        <v>3</v>
      </c>
      <c r="G83" s="914" t="s">
        <v>390</v>
      </c>
      <c r="H83" s="915"/>
      <c r="I83" s="915"/>
      <c r="J83" s="915"/>
      <c r="K83" s="915"/>
      <c r="L83" s="1244"/>
      <c r="M83" s="915"/>
      <c r="N83" s="915"/>
      <c r="O83" s="916"/>
    </row>
    <row r="84" spans="4:15" ht="22.5" customHeight="1">
      <c r="F84" s="922" t="str">
        <f>IF(F83=$S$15,$T$10,IF(ROUNDDOWN(F83,0)=$S$10,$U$10,$T$10))</f>
        <v>　レベル　1</v>
      </c>
      <c r="G84" s="1149" t="s">
        <v>989</v>
      </c>
      <c r="H84" s="1150"/>
      <c r="I84" s="1150"/>
      <c r="J84" s="1150"/>
      <c r="K84" s="1150"/>
      <c r="L84" s="1150"/>
      <c r="M84" s="1150"/>
      <c r="N84" s="920"/>
      <c r="O84" s="921"/>
    </row>
    <row r="85" spans="4:15" ht="22.5" customHeight="1">
      <c r="F85" s="922" t="str">
        <f>IF(F83=$S$15,$T$11,IF(ROUNDDOWN(F83,0)=$S$11,$U$11,$T$11))</f>
        <v>　レベル　2</v>
      </c>
      <c r="G85" s="1559" t="s">
        <v>1344</v>
      </c>
      <c r="H85" s="2064"/>
      <c r="I85" s="2064"/>
      <c r="J85" s="2064"/>
      <c r="K85" s="2064"/>
      <c r="L85" s="2064"/>
      <c r="M85" s="2064"/>
      <c r="N85" s="927"/>
      <c r="O85" s="928"/>
    </row>
    <row r="86" spans="4:15" ht="22.5" customHeight="1">
      <c r="F86" s="922" t="str">
        <f>IF(F83=$S$15,$T$12,IF(ROUNDDOWN(F83,0)=$S$12,$U$12,$T$12))</f>
        <v>■レベル　3</v>
      </c>
      <c r="G86" s="1559" t="s">
        <v>1345</v>
      </c>
      <c r="H86" s="2064"/>
      <c r="I86" s="2064"/>
      <c r="J86" s="2064"/>
      <c r="K86" s="2064"/>
      <c r="L86" s="2064"/>
      <c r="M86" s="2064"/>
      <c r="N86" s="927"/>
      <c r="O86" s="928"/>
    </row>
    <row r="87" spans="4:15" ht="22.5" customHeight="1">
      <c r="F87" s="922" t="str">
        <f>IF(F83=$S$15,$T$13,IF(ROUNDDOWN(F83,0)=$S$13,$U$13,$T$13))</f>
        <v>　レベル　4</v>
      </c>
      <c r="G87" s="1559" t="s">
        <v>1346</v>
      </c>
      <c r="H87" s="2064"/>
      <c r="I87" s="2064"/>
      <c r="J87" s="2064"/>
      <c r="K87" s="2064"/>
      <c r="L87" s="2064"/>
      <c r="M87" s="2064"/>
      <c r="N87" s="927"/>
      <c r="O87" s="928"/>
    </row>
    <row r="88" spans="4:15" ht="22.5" customHeight="1">
      <c r="F88" s="933" t="str">
        <f>IF(F83=$S$15,$T$14,IF(ROUNDDOWN(F83,0)=$S$14,$U$14,$T$14))</f>
        <v>　レベル　5</v>
      </c>
      <c r="G88" s="1560" t="s">
        <v>1347</v>
      </c>
      <c r="H88" s="2065"/>
      <c r="I88" s="2065"/>
      <c r="J88" s="2065"/>
      <c r="K88" s="2065"/>
      <c r="L88" s="2065"/>
      <c r="M88" s="2065"/>
      <c r="N88" s="938"/>
      <c r="O88" s="939"/>
    </row>
    <row r="89" spans="4:15" ht="21" customHeight="1">
      <c r="F89" s="1120"/>
      <c r="G89" s="1278" t="s">
        <v>2203</v>
      </c>
      <c r="H89" s="1120"/>
      <c r="I89" s="2066"/>
      <c r="J89" s="2066"/>
      <c r="K89" s="2039"/>
      <c r="L89" s="2039"/>
      <c r="M89" s="2039"/>
      <c r="N89" s="2039"/>
      <c r="O89" s="886"/>
    </row>
    <row r="90" spans="4:15" ht="24.75" customHeight="1" thickBot="1">
      <c r="F90" s="888"/>
      <c r="G90" s="1280" t="s">
        <v>187</v>
      </c>
      <c r="H90" s="3888" t="s">
        <v>1434</v>
      </c>
      <c r="I90" s="3889"/>
      <c r="J90" s="3890"/>
      <c r="K90" s="3888" t="s">
        <v>1430</v>
      </c>
      <c r="L90" s="3889"/>
      <c r="M90" s="3889"/>
      <c r="N90" s="3889"/>
      <c r="O90" s="1068" t="s">
        <v>1435</v>
      </c>
    </row>
    <row r="91" spans="4:15" ht="41.25" customHeight="1">
      <c r="D91" s="1575"/>
      <c r="E91" s="886"/>
      <c r="F91" s="886"/>
      <c r="G91" s="1296">
        <v>1</v>
      </c>
      <c r="H91" s="4125" t="s">
        <v>1348</v>
      </c>
      <c r="I91" s="4125"/>
      <c r="J91" s="4126"/>
      <c r="K91" s="3695" t="s">
        <v>3030</v>
      </c>
      <c r="L91" s="4089"/>
      <c r="M91" s="4089"/>
      <c r="N91" s="4089"/>
      <c r="O91" s="2068">
        <v>1</v>
      </c>
    </row>
    <row r="92" spans="4:15" ht="20.25" customHeight="1">
      <c r="D92" s="1575"/>
      <c r="E92" s="886"/>
      <c r="F92" s="886"/>
      <c r="G92" s="3874" t="s">
        <v>687</v>
      </c>
      <c r="H92" s="4094"/>
      <c r="I92" s="4094"/>
      <c r="J92" s="4095"/>
      <c r="K92" s="4107" t="s">
        <v>1349</v>
      </c>
      <c r="L92" s="4094"/>
      <c r="M92" s="4094"/>
      <c r="N92" s="4094"/>
      <c r="O92" s="4117">
        <v>1</v>
      </c>
    </row>
    <row r="93" spans="4:15" ht="25.5" customHeight="1">
      <c r="D93" s="1575"/>
      <c r="E93" s="886"/>
      <c r="F93" s="886"/>
      <c r="G93" s="3875"/>
      <c r="H93" s="4127"/>
      <c r="I93" s="4127"/>
      <c r="J93" s="4128"/>
      <c r="K93" s="4130"/>
      <c r="L93" s="4131"/>
      <c r="M93" s="4131"/>
      <c r="N93" s="4131"/>
      <c r="O93" s="4117"/>
    </row>
    <row r="94" spans="4:15" ht="30.75" customHeight="1">
      <c r="D94" s="1575"/>
      <c r="E94" s="886"/>
      <c r="F94" s="886"/>
      <c r="G94" s="1298">
        <v>1</v>
      </c>
      <c r="H94" s="4091" t="s">
        <v>1350</v>
      </c>
      <c r="I94" s="4091"/>
      <c r="J94" s="4092"/>
      <c r="K94" s="4107" t="s">
        <v>1351</v>
      </c>
      <c r="L94" s="4094"/>
      <c r="M94" s="4094"/>
      <c r="N94" s="4094"/>
      <c r="O94" s="2069">
        <v>1</v>
      </c>
    </row>
    <row r="95" spans="4:15" ht="22.5" customHeight="1">
      <c r="D95" s="1575"/>
      <c r="E95" s="886"/>
      <c r="F95" s="886"/>
      <c r="G95" s="1298">
        <v>0</v>
      </c>
      <c r="H95" s="4094"/>
      <c r="I95" s="4094"/>
      <c r="J95" s="4095"/>
      <c r="K95" s="3700" t="s">
        <v>1352</v>
      </c>
      <c r="L95" s="4096"/>
      <c r="M95" s="4096"/>
      <c r="N95" s="4096"/>
      <c r="O95" s="2069">
        <v>1</v>
      </c>
    </row>
    <row r="96" spans="4:15" ht="33" customHeight="1">
      <c r="D96" s="1575"/>
      <c r="E96" s="886"/>
      <c r="F96" s="886"/>
      <c r="G96" s="1298">
        <v>0</v>
      </c>
      <c r="H96" s="4094"/>
      <c r="I96" s="4094"/>
      <c r="J96" s="4095"/>
      <c r="K96" s="3700" t="s">
        <v>1353</v>
      </c>
      <c r="L96" s="4096"/>
      <c r="M96" s="4096"/>
      <c r="N96" s="4096"/>
      <c r="O96" s="2069">
        <v>1</v>
      </c>
    </row>
    <row r="97" spans="2:15" ht="21.75" customHeight="1">
      <c r="D97" s="1575"/>
      <c r="E97" s="886"/>
      <c r="F97" s="886"/>
      <c r="G97" s="3874" t="s">
        <v>687</v>
      </c>
      <c r="H97" s="4094"/>
      <c r="I97" s="4094"/>
      <c r="J97" s="4095"/>
      <c r="K97" s="4107" t="s">
        <v>1354</v>
      </c>
      <c r="L97" s="4094"/>
      <c r="M97" s="4094"/>
      <c r="N97" s="4094"/>
      <c r="O97" s="4117">
        <v>1</v>
      </c>
    </row>
    <row r="98" spans="2:15" ht="25.5" customHeight="1" thickBot="1">
      <c r="D98" s="1575"/>
      <c r="E98" s="886"/>
      <c r="F98" s="886"/>
      <c r="G98" s="3877"/>
      <c r="H98" s="4119"/>
      <c r="I98" s="4119"/>
      <c r="J98" s="4120"/>
      <c r="K98" s="3918"/>
      <c r="L98" s="3919"/>
      <c r="M98" s="3919"/>
      <c r="N98" s="3919"/>
      <c r="O98" s="4118"/>
    </row>
    <row r="99" spans="2:15" ht="14.25">
      <c r="D99" s="1575"/>
      <c r="E99" s="886"/>
      <c r="F99" s="886"/>
      <c r="G99" s="1170" t="s">
        <v>1454</v>
      </c>
      <c r="H99" s="3033">
        <f>SUM(G91:G98)</f>
        <v>2</v>
      </c>
      <c r="I99" s="3032" t="s">
        <v>3961</v>
      </c>
      <c r="J99" s="3119"/>
      <c r="K99" s="1172"/>
      <c r="L99" s="1173"/>
      <c r="M99" s="1172"/>
      <c r="N99" s="1173"/>
      <c r="O99" s="1281"/>
    </row>
    <row r="100" spans="2:15" ht="14.25">
      <c r="D100" s="1575"/>
      <c r="E100" s="886"/>
      <c r="F100" s="886"/>
      <c r="G100" s="886"/>
      <c r="H100" s="886"/>
      <c r="I100" s="886"/>
      <c r="J100" s="886"/>
      <c r="K100" s="886"/>
      <c r="L100" s="886"/>
      <c r="M100" s="886"/>
      <c r="N100" s="886"/>
      <c r="O100" s="886"/>
    </row>
    <row r="101" spans="2:15" ht="14.25">
      <c r="D101" s="1575"/>
      <c r="E101" s="886"/>
      <c r="F101" s="1435" t="s">
        <v>688</v>
      </c>
      <c r="G101" s="886"/>
      <c r="H101" s="886"/>
      <c r="I101" s="886"/>
      <c r="J101" s="979" t="str">
        <f>IF(OR(F103=0,J102=0),$R$3,"")</f>
        <v/>
      </c>
      <c r="K101" s="886"/>
      <c r="L101" s="886"/>
      <c r="M101" s="886"/>
      <c r="N101" s="886"/>
      <c r="O101" s="886"/>
    </row>
    <row r="102" spans="2:15" ht="15" thickBot="1">
      <c r="B102" s="1583" t="s">
        <v>689</v>
      </c>
      <c r="D102" s="1576"/>
      <c r="E102" s="1120"/>
      <c r="F102" s="1045"/>
      <c r="G102" s="904"/>
      <c r="H102" s="905" t="s">
        <v>1121</v>
      </c>
      <c r="I102" s="906"/>
      <c r="J102" s="907">
        <f>重み!M181</f>
        <v>0.25</v>
      </c>
      <c r="K102" s="1046"/>
      <c r="L102" s="1046"/>
      <c r="M102" s="1046"/>
      <c r="N102" s="1046"/>
      <c r="O102" s="916"/>
    </row>
    <row r="103" spans="2:15" ht="14.25" thickBot="1">
      <c r="F103" s="1276">
        <f>IF(H118&lt;=1,1,IF(H118&lt;=2,2,IF(H118&lt;=3,3,IF(H118&lt;=4,4,IF(H118&gt;=5,5)))))</f>
        <v>3</v>
      </c>
      <c r="G103" s="914" t="s">
        <v>1635</v>
      </c>
      <c r="H103" s="915"/>
      <c r="I103" s="915"/>
      <c r="J103" s="915"/>
      <c r="K103" s="1116" t="s">
        <v>1556</v>
      </c>
      <c r="L103" s="1117"/>
      <c r="M103" s="1117"/>
      <c r="N103" s="1117"/>
      <c r="O103" s="1389"/>
    </row>
    <row r="104" spans="2:15" ht="23.25" customHeight="1">
      <c r="F104" s="922" t="str">
        <f>IF(F103=$S$15,$T$10,IF(ROUNDDOWN(F103,0)=$S$10,$U$10,$T$10))</f>
        <v>　レベル　1</v>
      </c>
      <c r="G104" s="1149" t="s">
        <v>1355</v>
      </c>
      <c r="H104" s="1227"/>
      <c r="I104" s="1227"/>
      <c r="J104" s="1227"/>
      <c r="K104" s="1390" t="s">
        <v>1356</v>
      </c>
      <c r="L104" s="1584"/>
      <c r="M104" s="1584"/>
      <c r="N104" s="1585"/>
      <c r="O104" s="1586"/>
    </row>
    <row r="105" spans="2:15" ht="23.25" customHeight="1">
      <c r="F105" s="922" t="str">
        <f>IF(F103=$S$15,$T$11,IF(ROUNDDOWN(F103,0)=$S$11,$U$11,$T$11))</f>
        <v>　レベル　2</v>
      </c>
      <c r="G105" s="1152" t="s">
        <v>1357</v>
      </c>
      <c r="H105" s="1285"/>
      <c r="I105" s="1285"/>
      <c r="J105" s="1285"/>
      <c r="K105" s="1392" t="s">
        <v>1358</v>
      </c>
      <c r="L105" s="1587"/>
      <c r="M105" s="1588"/>
      <c r="N105" s="1589"/>
      <c r="O105" s="1590"/>
    </row>
    <row r="106" spans="2:15" ht="23.25" customHeight="1">
      <c r="F106" s="922" t="str">
        <f>IF(F103=$S$15,$T$12,IF(ROUNDDOWN(F103,0)=$S$12,$U$12,$T$12))</f>
        <v>■レベル　3</v>
      </c>
      <c r="G106" s="1152" t="s">
        <v>1638</v>
      </c>
      <c r="H106" s="1285"/>
      <c r="I106" s="1285"/>
      <c r="J106" s="1285"/>
      <c r="K106" s="1392" t="s">
        <v>690</v>
      </c>
      <c r="L106" s="1587"/>
      <c r="M106" s="1588"/>
      <c r="N106" s="1589"/>
      <c r="O106" s="1590"/>
    </row>
    <row r="107" spans="2:15" ht="23.25" customHeight="1">
      <c r="F107" s="922" t="str">
        <f>IF(F103=$S$15,$T$13,IF(ROUNDDOWN(F103,0)=$S$13,$U$13,$T$13))</f>
        <v>　レベル　4</v>
      </c>
      <c r="G107" s="1152" t="s">
        <v>1639</v>
      </c>
      <c r="H107" s="1285"/>
      <c r="I107" s="1285"/>
      <c r="J107" s="1285"/>
      <c r="K107" s="1392" t="s">
        <v>691</v>
      </c>
      <c r="L107" s="1587"/>
      <c r="M107" s="1588"/>
      <c r="N107" s="1589"/>
      <c r="O107" s="1590"/>
    </row>
    <row r="108" spans="2:15" ht="23.25" customHeight="1">
      <c r="F108" s="933" t="str">
        <f>IF(F103=$S$15,$T$14,IF(ROUNDDOWN(F103,0)=$S$14,$U$14,$T$14))</f>
        <v>　レベル　5</v>
      </c>
      <c r="G108" s="1155" t="s">
        <v>1640</v>
      </c>
      <c r="H108" s="1290"/>
      <c r="I108" s="1290"/>
      <c r="J108" s="1290"/>
      <c r="K108" s="1591" t="s">
        <v>692</v>
      </c>
      <c r="L108" s="1592"/>
      <c r="M108" s="1593"/>
      <c r="N108" s="1594"/>
      <c r="O108" s="1595"/>
    </row>
    <row r="109" spans="2:15">
      <c r="F109" s="1120"/>
      <c r="G109" s="1278" t="s">
        <v>2203</v>
      </c>
      <c r="H109" s="1120"/>
      <c r="I109" s="2066"/>
      <c r="J109" s="2066"/>
      <c r="K109" s="2039"/>
      <c r="L109" s="2039"/>
      <c r="M109" s="2039"/>
      <c r="N109" s="2039"/>
      <c r="O109" s="886"/>
    </row>
    <row r="110" spans="2:15" ht="22.5" customHeight="1" thickBot="1">
      <c r="F110" s="888"/>
      <c r="G110" s="1280" t="s">
        <v>187</v>
      </c>
      <c r="H110" s="3888" t="s">
        <v>1434</v>
      </c>
      <c r="I110" s="3889"/>
      <c r="J110" s="3890"/>
      <c r="K110" s="3888" t="s">
        <v>1430</v>
      </c>
      <c r="L110" s="3889"/>
      <c r="M110" s="3889"/>
      <c r="N110" s="3889"/>
      <c r="O110" s="1068" t="s">
        <v>1435</v>
      </c>
    </row>
    <row r="111" spans="2:15" ht="30.75" customHeight="1">
      <c r="D111" s="1575"/>
      <c r="E111" s="886"/>
      <c r="F111" s="886"/>
      <c r="G111" s="1296">
        <v>1</v>
      </c>
      <c r="H111" s="4086" t="s">
        <v>1641</v>
      </c>
      <c r="I111" s="4087"/>
      <c r="J111" s="4088"/>
      <c r="K111" s="3695" t="s">
        <v>3031</v>
      </c>
      <c r="L111" s="4089"/>
      <c r="M111" s="4089"/>
      <c r="N111" s="4089"/>
      <c r="O111" s="2068">
        <v>1</v>
      </c>
    </row>
    <row r="112" spans="2:15" ht="32.25" customHeight="1">
      <c r="D112" s="1575"/>
      <c r="E112" s="886"/>
      <c r="F112" s="886"/>
      <c r="G112" s="1299">
        <v>1</v>
      </c>
      <c r="H112" s="4090" t="s">
        <v>1964</v>
      </c>
      <c r="I112" s="4091"/>
      <c r="J112" s="4092"/>
      <c r="K112" s="3700" t="s">
        <v>693</v>
      </c>
      <c r="L112" s="4096"/>
      <c r="M112" s="4096"/>
      <c r="N112" s="4096"/>
      <c r="O112" s="2069">
        <v>1</v>
      </c>
    </row>
    <row r="113" spans="2:15" ht="27" customHeight="1">
      <c r="D113" s="1575"/>
      <c r="E113" s="886"/>
      <c r="F113" s="886"/>
      <c r="G113" s="1298">
        <v>1</v>
      </c>
      <c r="H113" s="4093"/>
      <c r="I113" s="4094"/>
      <c r="J113" s="4095"/>
      <c r="K113" s="3700" t="s">
        <v>694</v>
      </c>
      <c r="L113" s="4096"/>
      <c r="M113" s="4096"/>
      <c r="N113" s="4096"/>
      <c r="O113" s="2069">
        <v>1</v>
      </c>
    </row>
    <row r="114" spans="2:15" ht="24" customHeight="1">
      <c r="D114" s="1575"/>
      <c r="E114" s="886"/>
      <c r="F114" s="886"/>
      <c r="G114" s="1298">
        <v>0</v>
      </c>
      <c r="H114" s="4093"/>
      <c r="I114" s="4094"/>
      <c r="J114" s="4095"/>
      <c r="K114" s="4142" t="s">
        <v>695</v>
      </c>
      <c r="L114" s="4127"/>
      <c r="M114" s="4127"/>
      <c r="N114" s="4127"/>
      <c r="O114" s="2069">
        <v>1</v>
      </c>
    </row>
    <row r="115" spans="2:15" ht="57" hidden="1" customHeight="1">
      <c r="B115" s="1094" t="s">
        <v>696</v>
      </c>
      <c r="D115" s="1575"/>
      <c r="E115" s="886"/>
      <c r="F115" s="886"/>
      <c r="G115" s="1298">
        <v>0</v>
      </c>
      <c r="H115" s="1596"/>
      <c r="I115" s="1582"/>
      <c r="J115" s="1582"/>
      <c r="K115" s="4142" t="s">
        <v>697</v>
      </c>
      <c r="L115" s="4146"/>
      <c r="M115" s="4146"/>
      <c r="N115" s="4146"/>
      <c r="O115" s="2069" t="s">
        <v>1965</v>
      </c>
    </row>
    <row r="116" spans="2:15" ht="31.5" customHeight="1">
      <c r="D116" s="1575"/>
      <c r="E116" s="886"/>
      <c r="F116" s="886"/>
      <c r="G116" s="1298"/>
      <c r="H116" s="4090" t="s">
        <v>3032</v>
      </c>
      <c r="I116" s="4091"/>
      <c r="J116" s="4092"/>
      <c r="K116" s="3700" t="s">
        <v>3033</v>
      </c>
      <c r="L116" s="4096"/>
      <c r="M116" s="4096"/>
      <c r="N116" s="4096"/>
      <c r="O116" s="2069">
        <v>1</v>
      </c>
    </row>
    <row r="117" spans="2:15" ht="27" customHeight="1" thickBot="1">
      <c r="D117" s="1575"/>
      <c r="E117" s="886"/>
      <c r="F117" s="886"/>
      <c r="G117" s="1305">
        <v>0</v>
      </c>
      <c r="H117" s="4188"/>
      <c r="I117" s="4119"/>
      <c r="J117" s="4120"/>
      <c r="K117" s="4107" t="s">
        <v>698</v>
      </c>
      <c r="L117" s="4094"/>
      <c r="M117" s="4094"/>
      <c r="N117" s="4094"/>
      <c r="O117" s="2070">
        <v>1</v>
      </c>
    </row>
    <row r="118" spans="2:15" ht="14.25">
      <c r="D118" s="1575"/>
      <c r="E118" s="886"/>
      <c r="F118" s="886"/>
      <c r="G118" s="1170" t="s">
        <v>1454</v>
      </c>
      <c r="H118" s="3033">
        <f>SUM(G111:G117)</f>
        <v>3</v>
      </c>
      <c r="I118" s="3032" t="s">
        <v>3962</v>
      </c>
      <c r="J118" s="3119"/>
      <c r="K118" s="1172"/>
      <c r="L118" s="1173"/>
      <c r="M118" s="1172"/>
      <c r="N118" s="1173"/>
      <c r="O118" s="1281"/>
    </row>
    <row r="119" spans="2:15" ht="16.5" customHeight="1">
      <c r="D119" s="1575"/>
      <c r="E119" s="886"/>
      <c r="F119" s="886"/>
      <c r="G119" s="886"/>
      <c r="H119" s="886"/>
      <c r="I119" s="886"/>
      <c r="J119" s="886"/>
      <c r="K119" s="886"/>
      <c r="L119" s="886"/>
      <c r="M119" s="886"/>
      <c r="N119" s="886"/>
      <c r="O119" s="886"/>
    </row>
    <row r="120" spans="2:15" ht="19.5" customHeight="1">
      <c r="D120" s="1576">
        <v>3</v>
      </c>
      <c r="E120" s="895" t="s">
        <v>2169</v>
      </c>
      <c r="F120" s="895"/>
      <c r="G120" s="886"/>
      <c r="H120" s="886"/>
      <c r="I120" s="886"/>
      <c r="J120" s="886"/>
      <c r="K120" s="886"/>
      <c r="L120" s="886"/>
      <c r="M120" s="886"/>
      <c r="N120" s="886"/>
      <c r="O120" s="886"/>
    </row>
    <row r="121" spans="2:15" ht="14.25">
      <c r="D121" s="1576">
        <v>3.1</v>
      </c>
      <c r="E121" s="895" t="s">
        <v>699</v>
      </c>
      <c r="F121" s="895"/>
      <c r="G121" s="894"/>
      <c r="H121" s="895"/>
      <c r="I121" s="895"/>
      <c r="J121" s="895"/>
      <c r="K121" s="895"/>
      <c r="L121" s="895"/>
      <c r="M121" s="895"/>
      <c r="N121" s="895"/>
      <c r="O121" s="2062"/>
    </row>
    <row r="122" spans="2:15" ht="14.25">
      <c r="D122" s="1576"/>
      <c r="E122" s="895"/>
      <c r="F122" s="1597" t="s">
        <v>700</v>
      </c>
      <c r="G122" s="894"/>
      <c r="H122" s="895"/>
      <c r="I122" s="895"/>
      <c r="J122" s="979" t="str">
        <f>IF(OR(F124=0,J123=0),$R$3,"")</f>
        <v/>
      </c>
      <c r="K122" s="895"/>
      <c r="L122" s="895"/>
      <c r="M122" s="895"/>
      <c r="N122" s="895"/>
      <c r="O122" s="2062"/>
    </row>
    <row r="123" spans="2:15" ht="15" thickBot="1">
      <c r="D123" s="1576"/>
      <c r="E123" s="1120"/>
      <c r="F123" s="1045"/>
      <c r="G123" s="904"/>
      <c r="H123" s="905" t="s">
        <v>1121</v>
      </c>
      <c r="I123" s="906"/>
      <c r="J123" s="907">
        <f>重み!M185</f>
        <v>0.33333333333333337</v>
      </c>
      <c r="K123" s="1046"/>
      <c r="L123" s="1046"/>
      <c r="M123" s="1046"/>
      <c r="N123" s="1046"/>
      <c r="O123" s="916"/>
    </row>
    <row r="124" spans="2:15" ht="16.5" thickBot="1">
      <c r="D124" s="888"/>
      <c r="E124" s="888"/>
      <c r="F124" s="910">
        <v>3</v>
      </c>
      <c r="G124" s="914" t="s">
        <v>34</v>
      </c>
      <c r="H124" s="915"/>
      <c r="I124" s="915"/>
      <c r="J124" s="915"/>
      <c r="K124" s="915"/>
      <c r="L124" s="1244"/>
      <c r="M124" s="915"/>
      <c r="N124" s="1026" t="s">
        <v>701</v>
      </c>
      <c r="O124" s="916"/>
    </row>
    <row r="125" spans="2:15" ht="29.25" customHeight="1">
      <c r="B125" s="1">
        <v>1</v>
      </c>
      <c r="C125" s="1">
        <v>1</v>
      </c>
      <c r="D125" s="888"/>
      <c r="E125" s="888"/>
      <c r="F125" s="922" t="str">
        <f>IF(F124=$S$15,$T$10,IF(ROUNDDOWN(F124,0)=$S$10,$U$10,$T$10))</f>
        <v>　レベル　1</v>
      </c>
      <c r="G125" s="3816" t="s">
        <v>4148</v>
      </c>
      <c r="H125" s="3775"/>
      <c r="I125" s="3775"/>
      <c r="J125" s="3775"/>
      <c r="K125" s="3775"/>
      <c r="L125" s="3775"/>
      <c r="M125" s="3776"/>
      <c r="N125" s="4134" t="s">
        <v>1966</v>
      </c>
      <c r="O125" s="4135"/>
    </row>
    <row r="126" spans="2:15" ht="20.25" customHeight="1">
      <c r="B126" s="1" t="s">
        <v>944</v>
      </c>
      <c r="C126" s="1">
        <v>2</v>
      </c>
      <c r="D126" s="888"/>
      <c r="E126" s="888"/>
      <c r="F126" s="922" t="str">
        <f>IF(F124=$S$15,$T$11,IF(ROUNDDOWN(F124,0)=$S$11,$U$11,$T$11))</f>
        <v>　レベル　2</v>
      </c>
      <c r="G126" s="1152" t="s">
        <v>1788</v>
      </c>
      <c r="H126" s="1285"/>
      <c r="I126" s="1285"/>
      <c r="J126" s="1285"/>
      <c r="K126" s="1285"/>
      <c r="L126" s="1399"/>
      <c r="M126" s="1285"/>
      <c r="N126" s="4136"/>
      <c r="O126" s="4137"/>
    </row>
    <row r="127" spans="2:15" ht="29.25" customHeight="1">
      <c r="B127" s="1">
        <v>3</v>
      </c>
      <c r="C127" s="1">
        <v>3</v>
      </c>
      <c r="D127" s="888"/>
      <c r="E127" s="888"/>
      <c r="F127" s="922" t="str">
        <f>IF(F124=$S$15,$T$12,IF(ROUNDDOWN(F124,0)=$S$12,$U$12,$T$12))</f>
        <v>■レベル　3</v>
      </c>
      <c r="G127" s="3754" t="s">
        <v>4149</v>
      </c>
      <c r="H127" s="3839"/>
      <c r="I127" s="3839"/>
      <c r="J127" s="3839"/>
      <c r="K127" s="3839"/>
      <c r="L127" s="3839"/>
      <c r="M127" s="3840"/>
      <c r="N127" s="4136"/>
      <c r="O127" s="4137"/>
    </row>
    <row r="128" spans="2:15" ht="20.25" customHeight="1">
      <c r="B128" s="1" t="s">
        <v>944</v>
      </c>
      <c r="C128" s="1">
        <v>4</v>
      </c>
      <c r="D128" s="888"/>
      <c r="E128" s="888"/>
      <c r="F128" s="922" t="str">
        <f>IF(F124=$S$15,$T$13,IF(ROUNDDOWN(F124,0)=$S$13,$U$13,$T$13))</f>
        <v>　レベル　4</v>
      </c>
      <c r="G128" s="1152" t="s">
        <v>1788</v>
      </c>
      <c r="H128" s="1285"/>
      <c r="I128" s="1285"/>
      <c r="J128" s="1285"/>
      <c r="K128" s="1285"/>
      <c r="L128" s="1399"/>
      <c r="M128" s="1285"/>
      <c r="N128" s="4136"/>
      <c r="O128" s="4137"/>
    </row>
    <row r="129" spans="2:15" ht="29.25" customHeight="1">
      <c r="B129" s="1">
        <v>5</v>
      </c>
      <c r="C129" s="1">
        <v>5</v>
      </c>
      <c r="D129" s="888"/>
      <c r="E129" s="888"/>
      <c r="F129" s="933" t="str">
        <f>IF(F124=$S$15,$T$14,IF(ROUNDDOWN(F124,0)=$S$14,$U$14,$T$14))</f>
        <v>　レベル　5</v>
      </c>
      <c r="G129" s="3757" t="s">
        <v>4150</v>
      </c>
      <c r="H129" s="3895"/>
      <c r="I129" s="3895"/>
      <c r="J129" s="3895"/>
      <c r="K129" s="3895"/>
      <c r="L129" s="3895"/>
      <c r="M129" s="3896"/>
      <c r="N129" s="4138"/>
      <c r="O129" s="4139"/>
    </row>
    <row r="130" spans="2:15" ht="25.5" customHeight="1">
      <c r="B130" s="940">
        <v>0</v>
      </c>
      <c r="C130" s="940">
        <v>0</v>
      </c>
      <c r="F130" s="4110" t="s">
        <v>3034</v>
      </c>
      <c r="G130" s="4110"/>
      <c r="H130" s="4110"/>
      <c r="I130" s="4110"/>
      <c r="J130" s="4110"/>
      <c r="K130" s="4110"/>
      <c r="L130" s="4110"/>
      <c r="M130" s="4110"/>
      <c r="N130" s="4110"/>
      <c r="O130" s="4110"/>
    </row>
    <row r="131" spans="2:15" ht="15.75">
      <c r="F131" s="1322" t="s">
        <v>702</v>
      </c>
      <c r="G131" s="1322"/>
      <c r="H131" s="888"/>
      <c r="I131" s="888"/>
      <c r="J131" s="888"/>
      <c r="K131" s="895"/>
      <c r="L131" s="895"/>
    </row>
    <row r="132" spans="2:15">
      <c r="F132" s="1432" t="s">
        <v>4136</v>
      </c>
    </row>
    <row r="133" spans="2:15">
      <c r="F133" s="1599"/>
      <c r="G133" s="4114" t="s">
        <v>703</v>
      </c>
      <c r="H133" s="4115"/>
      <c r="I133" s="4116"/>
      <c r="J133" s="4114" t="s">
        <v>704</v>
      </c>
      <c r="K133" s="4115"/>
      <c r="L133" s="4116"/>
    </row>
    <row r="134" spans="2:15" ht="14.25">
      <c r="F134" s="1600"/>
      <c r="G134" s="1601" t="s">
        <v>1266</v>
      </c>
      <c r="H134" s="1602" t="s">
        <v>1267</v>
      </c>
      <c r="I134" s="1603" t="s">
        <v>1268</v>
      </c>
      <c r="J134" s="1601" t="s">
        <v>1266</v>
      </c>
      <c r="K134" s="1602" t="s">
        <v>1267</v>
      </c>
      <c r="L134" s="1603" t="s">
        <v>1268</v>
      </c>
    </row>
    <row r="135" spans="2:15" ht="29.25" customHeight="1">
      <c r="F135" s="922" t="s">
        <v>705</v>
      </c>
      <c r="G135" s="1604" t="s">
        <v>706</v>
      </c>
      <c r="H135" s="1605" t="s">
        <v>706</v>
      </c>
      <c r="I135" s="1606" t="s">
        <v>706</v>
      </c>
      <c r="J135" s="1604" t="s">
        <v>706</v>
      </c>
      <c r="K135" s="1605" t="s">
        <v>706</v>
      </c>
      <c r="L135" s="1606" t="s">
        <v>706</v>
      </c>
    </row>
    <row r="136" spans="2:15">
      <c r="F136" s="922" t="s">
        <v>2347</v>
      </c>
      <c r="G136" s="1607"/>
      <c r="H136" s="1602"/>
      <c r="I136" s="1608"/>
      <c r="J136" s="1607"/>
      <c r="K136" s="1602"/>
      <c r="L136" s="1608"/>
    </row>
    <row r="137" spans="2:15" ht="29.45" customHeight="1">
      <c r="F137" s="922" t="s">
        <v>2348</v>
      </c>
      <c r="G137" s="1607" t="s">
        <v>707</v>
      </c>
      <c r="H137" s="1602" t="s">
        <v>708</v>
      </c>
      <c r="I137" s="1608" t="s">
        <v>708</v>
      </c>
      <c r="J137" s="3374" t="s">
        <v>4137</v>
      </c>
      <c r="K137" s="3375" t="s">
        <v>4140</v>
      </c>
      <c r="L137" s="1608" t="s">
        <v>708</v>
      </c>
    </row>
    <row r="138" spans="2:15">
      <c r="F138" s="922" t="s">
        <v>2349</v>
      </c>
      <c r="G138" s="1607"/>
      <c r="H138" s="1602"/>
      <c r="I138" s="1608"/>
      <c r="J138" s="1607"/>
      <c r="K138" s="1602"/>
      <c r="L138" s="1608"/>
    </row>
    <row r="139" spans="2:15" ht="29.45" customHeight="1">
      <c r="F139" s="933" t="s">
        <v>2350</v>
      </c>
      <c r="G139" s="1609" t="s">
        <v>1269</v>
      </c>
      <c r="H139" s="1610" t="s">
        <v>1270</v>
      </c>
      <c r="I139" s="1611" t="s">
        <v>1270</v>
      </c>
      <c r="J139" s="3376" t="s">
        <v>4142</v>
      </c>
      <c r="K139" s="3377" t="s">
        <v>4141</v>
      </c>
      <c r="L139" s="1611" t="s">
        <v>1270</v>
      </c>
    </row>
    <row r="140" spans="2:15">
      <c r="F140" s="1599"/>
      <c r="G140" s="4114" t="s">
        <v>709</v>
      </c>
      <c r="H140" s="4115"/>
      <c r="I140" s="4116"/>
      <c r="J140" s="4114" t="s">
        <v>710</v>
      </c>
      <c r="K140" s="4115"/>
      <c r="L140" s="4116"/>
    </row>
    <row r="141" spans="2:15">
      <c r="F141" s="1344"/>
      <c r="G141" s="1601" t="s">
        <v>1271</v>
      </c>
      <c r="H141" s="1602" t="s">
        <v>1272</v>
      </c>
      <c r="I141" s="1603" t="s">
        <v>1273</v>
      </c>
      <c r="J141" s="1601" t="s">
        <v>1271</v>
      </c>
      <c r="K141" s="1602" t="s">
        <v>1272</v>
      </c>
      <c r="L141" s="1603" t="s">
        <v>1273</v>
      </c>
    </row>
    <row r="142" spans="2:15" ht="29.25" customHeight="1">
      <c r="F142" s="922" t="s">
        <v>705</v>
      </c>
      <c r="G142" s="1604" t="s">
        <v>706</v>
      </c>
      <c r="H142" s="1605" t="s">
        <v>706</v>
      </c>
      <c r="I142" s="1606" t="s">
        <v>706</v>
      </c>
      <c r="J142" s="1604" t="s">
        <v>706</v>
      </c>
      <c r="K142" s="1605" t="s">
        <v>706</v>
      </c>
      <c r="L142" s="1606" t="s">
        <v>706</v>
      </c>
    </row>
    <row r="143" spans="2:15">
      <c r="F143" s="922" t="s">
        <v>2347</v>
      </c>
      <c r="G143" s="1607"/>
      <c r="H143" s="1602"/>
      <c r="I143" s="1608"/>
      <c r="J143" s="1607"/>
      <c r="K143" s="1602"/>
      <c r="L143" s="1608"/>
    </row>
    <row r="144" spans="2:15" ht="29.45" customHeight="1">
      <c r="F144" s="922" t="s">
        <v>2348</v>
      </c>
      <c r="G144" s="3374" t="s">
        <v>4143</v>
      </c>
      <c r="H144" s="3375" t="s">
        <v>4144</v>
      </c>
      <c r="I144" s="3378" t="s">
        <v>4145</v>
      </c>
      <c r="J144" s="3374" t="s">
        <v>4146</v>
      </c>
      <c r="K144" s="3375" t="s">
        <v>4147</v>
      </c>
      <c r="L144" s="3378" t="s">
        <v>4144</v>
      </c>
    </row>
    <row r="145" spans="2:15">
      <c r="F145" s="922" t="s">
        <v>2349</v>
      </c>
      <c r="G145" s="1607"/>
      <c r="H145" s="1602"/>
      <c r="I145" s="1608"/>
      <c r="J145" s="1607"/>
      <c r="K145" s="1602"/>
      <c r="L145" s="1608"/>
    </row>
    <row r="146" spans="2:15" ht="29.45" customHeight="1">
      <c r="F146" s="933" t="s">
        <v>2350</v>
      </c>
      <c r="G146" s="3376" t="s">
        <v>4144</v>
      </c>
      <c r="H146" s="3377" t="s">
        <v>4140</v>
      </c>
      <c r="I146" s="3379" t="s">
        <v>4142</v>
      </c>
      <c r="J146" s="3376" t="s">
        <v>4147</v>
      </c>
      <c r="K146" s="3377" t="s">
        <v>4138</v>
      </c>
      <c r="L146" s="3379" t="s">
        <v>4140</v>
      </c>
    </row>
    <row r="147" spans="2:15" ht="15.75">
      <c r="D147" s="888"/>
      <c r="E147" s="888"/>
      <c r="F147" s="3380" t="s">
        <v>4139</v>
      </c>
      <c r="G147" s="888"/>
      <c r="H147" s="888"/>
      <c r="I147" s="888"/>
      <c r="J147" s="888"/>
      <c r="K147" s="888"/>
      <c r="L147" s="888"/>
      <c r="M147" s="888"/>
      <c r="N147" s="888"/>
      <c r="O147" s="2062"/>
    </row>
    <row r="148" spans="2:15" ht="15.75">
      <c r="D148" s="888"/>
      <c r="E148" s="888"/>
      <c r="F148" s="1597" t="s">
        <v>1274</v>
      </c>
      <c r="G148" s="888"/>
      <c r="H148" s="888"/>
      <c r="I148" s="888"/>
      <c r="J148" s="979" t="str">
        <f>IF(OR(F150=0,J149=0),$R$3,"")</f>
        <v/>
      </c>
      <c r="K148" s="888"/>
      <c r="L148" s="888"/>
      <c r="M148" s="888"/>
      <c r="N148" s="888"/>
      <c r="O148" s="2062"/>
    </row>
    <row r="149" spans="2:15" ht="15" thickBot="1">
      <c r="D149" s="1576"/>
      <c r="E149" s="1120"/>
      <c r="F149" s="1045"/>
      <c r="G149" s="904"/>
      <c r="H149" s="905" t="s">
        <v>1121</v>
      </c>
      <c r="I149" s="906"/>
      <c r="J149" s="907">
        <f>重み!M186</f>
        <v>0.33333333333333337</v>
      </c>
      <c r="K149" s="1046"/>
      <c r="L149" s="1046"/>
      <c r="M149" s="1046"/>
      <c r="N149" s="1046"/>
      <c r="O149" s="916"/>
    </row>
    <row r="150" spans="2:15" ht="15" thickBot="1">
      <c r="D150" s="1576"/>
      <c r="E150" s="895"/>
      <c r="F150" s="910">
        <v>3</v>
      </c>
      <c r="G150" s="914" t="s">
        <v>1827</v>
      </c>
      <c r="H150" s="915"/>
      <c r="I150" s="915"/>
      <c r="J150" s="915"/>
      <c r="K150" s="915"/>
      <c r="L150" s="1244"/>
      <c r="M150" s="915"/>
      <c r="N150" s="1026" t="s">
        <v>701</v>
      </c>
      <c r="O150" s="916"/>
    </row>
    <row r="151" spans="2:15" ht="20.25" customHeight="1">
      <c r="B151" s="1">
        <v>1</v>
      </c>
      <c r="C151" s="1">
        <v>1</v>
      </c>
      <c r="D151" s="1576"/>
      <c r="E151" s="895"/>
      <c r="F151" s="922" t="str">
        <f>IF(F150=$S$15,$T$10,IF(ROUNDDOWN(F150,0)=$S$10,$U$10,$T$10))</f>
        <v>　レベル　1</v>
      </c>
      <c r="G151" s="1149" t="s">
        <v>4151</v>
      </c>
      <c r="H151" s="1227"/>
      <c r="I151" s="1227"/>
      <c r="J151" s="1227"/>
      <c r="K151" s="1227"/>
      <c r="L151" s="1398"/>
      <c r="M151" s="1227"/>
      <c r="N151" s="3620" t="s">
        <v>73</v>
      </c>
      <c r="O151" s="4147"/>
    </row>
    <row r="152" spans="2:15" ht="20.25" customHeight="1">
      <c r="B152" s="1" t="s">
        <v>399</v>
      </c>
      <c r="C152" s="1">
        <v>2</v>
      </c>
      <c r="D152" s="1576"/>
      <c r="E152" s="895"/>
      <c r="F152" s="922" t="str">
        <f>IF(F150=$S$15,$T$11,IF(ROUNDDOWN(F150,0)=$S$11,$U$11,$T$11))</f>
        <v>　レベル　2</v>
      </c>
      <c r="G152" s="1152" t="s">
        <v>1788</v>
      </c>
      <c r="H152" s="1285"/>
      <c r="I152" s="1285"/>
      <c r="J152" s="1285"/>
      <c r="K152" s="1285"/>
      <c r="L152" s="1399"/>
      <c r="M152" s="1285"/>
      <c r="N152" s="4148"/>
      <c r="O152" s="3883"/>
    </row>
    <row r="153" spans="2:15" ht="20.25" customHeight="1">
      <c r="B153" s="1">
        <v>3</v>
      </c>
      <c r="C153" s="1">
        <v>3</v>
      </c>
      <c r="D153" s="1576"/>
      <c r="E153" s="895"/>
      <c r="F153" s="922" t="str">
        <f>IF(F150=$S$15,$T$12,IF(ROUNDDOWN(F150,0)=$S$12,$U$12,$T$12))</f>
        <v>■レベル　3</v>
      </c>
      <c r="G153" s="1152" t="s">
        <v>4152</v>
      </c>
      <c r="H153" s="1285"/>
      <c r="I153" s="1285"/>
      <c r="J153" s="1285"/>
      <c r="K153" s="1285"/>
      <c r="L153" s="1399"/>
      <c r="M153" s="1285"/>
      <c r="N153" s="4148"/>
      <c r="O153" s="3883"/>
    </row>
    <row r="154" spans="2:15" ht="20.25" customHeight="1">
      <c r="B154" s="1" t="s">
        <v>185</v>
      </c>
      <c r="C154" s="1">
        <v>4</v>
      </c>
      <c r="D154" s="1576"/>
      <c r="E154" s="895"/>
      <c r="F154" s="922" t="str">
        <f>IF(F150=$S$15,$T$13,IF(ROUNDDOWN(F150,0)=$S$13,$U$13,$T$13))</f>
        <v>　レベル　4</v>
      </c>
      <c r="G154" s="1152" t="s">
        <v>1788</v>
      </c>
      <c r="H154" s="1285"/>
      <c r="I154" s="1285"/>
      <c r="J154" s="1285"/>
      <c r="K154" s="1285"/>
      <c r="L154" s="1399"/>
      <c r="M154" s="1285"/>
      <c r="N154" s="4148"/>
      <c r="O154" s="3883"/>
    </row>
    <row r="155" spans="2:15" ht="20.25" customHeight="1">
      <c r="B155" s="1">
        <v>5</v>
      </c>
      <c r="C155" s="1">
        <v>5</v>
      </c>
      <c r="D155" s="1576"/>
      <c r="E155" s="895"/>
      <c r="F155" s="933" t="str">
        <f>IF(F150=$S$15,$T$14,IF(ROUNDDOWN(F150,0)=$S$14,$U$14,$T$14))</f>
        <v>　レベル　5</v>
      </c>
      <c r="G155" s="1155" t="s">
        <v>4153</v>
      </c>
      <c r="H155" s="1290"/>
      <c r="I155" s="1290"/>
      <c r="J155" s="1290"/>
      <c r="K155" s="1290"/>
      <c r="L155" s="1598"/>
      <c r="M155" s="1290"/>
      <c r="N155" s="4149"/>
      <c r="O155" s="4150"/>
    </row>
    <row r="156" spans="2:15" ht="21" customHeight="1">
      <c r="B156" s="940">
        <v>0</v>
      </c>
      <c r="C156" s="940">
        <v>0</v>
      </c>
      <c r="D156" s="1576"/>
      <c r="E156" s="895"/>
      <c r="F156" s="4110" t="s">
        <v>3035</v>
      </c>
      <c r="G156" s="4111"/>
      <c r="H156" s="4111"/>
      <c r="I156" s="4111"/>
      <c r="J156" s="4111"/>
      <c r="K156" s="4111"/>
      <c r="L156" s="4111"/>
      <c r="M156" s="4111"/>
      <c r="N156" s="4111"/>
      <c r="O156" s="886"/>
    </row>
    <row r="157" spans="2:15" ht="15.75">
      <c r="D157" s="1576"/>
      <c r="E157" s="895"/>
      <c r="F157" s="1322" t="s">
        <v>1643</v>
      </c>
      <c r="G157" s="1322"/>
      <c r="H157" s="888"/>
      <c r="I157" s="888"/>
      <c r="J157" s="888"/>
      <c r="K157" s="895"/>
      <c r="L157" s="895"/>
    </row>
    <row r="158" spans="2:15" ht="14.25">
      <c r="D158" s="1576"/>
      <c r="E158" s="895"/>
      <c r="F158" s="1432" t="s">
        <v>3036</v>
      </c>
    </row>
    <row r="159" spans="2:15" ht="14.25">
      <c r="D159" s="1576"/>
      <c r="E159" s="895"/>
      <c r="F159" s="1612"/>
      <c r="G159" s="4114" t="s">
        <v>703</v>
      </c>
      <c r="H159" s="4115"/>
      <c r="I159" s="4116"/>
      <c r="J159" s="4114" t="s">
        <v>704</v>
      </c>
      <c r="K159" s="4115"/>
      <c r="L159" s="4116"/>
    </row>
    <row r="160" spans="2:15" ht="14.25">
      <c r="D160" s="1576"/>
      <c r="E160" s="895"/>
      <c r="F160" s="1600"/>
      <c r="G160" s="1601" t="s">
        <v>1266</v>
      </c>
      <c r="H160" s="1602" t="s">
        <v>1268</v>
      </c>
      <c r="I160" s="1603"/>
      <c r="J160" s="1601" t="s">
        <v>1266</v>
      </c>
      <c r="K160" s="1602" t="s">
        <v>1268</v>
      </c>
      <c r="L160" s="1603"/>
    </row>
    <row r="161" spans="2:15" ht="29.25" customHeight="1">
      <c r="D161" s="1576"/>
      <c r="E161" s="895"/>
      <c r="F161" s="922" t="s">
        <v>705</v>
      </c>
      <c r="G161" s="1604" t="s">
        <v>706</v>
      </c>
      <c r="H161" s="1605" t="s">
        <v>706</v>
      </c>
      <c r="I161" s="1613"/>
      <c r="J161" s="1604" t="s">
        <v>706</v>
      </c>
      <c r="K161" s="1605" t="s">
        <v>706</v>
      </c>
      <c r="L161" s="1613"/>
    </row>
    <row r="162" spans="2:15" ht="14.25">
      <c r="D162" s="1576"/>
      <c r="E162" s="895"/>
      <c r="F162" s="922" t="s">
        <v>2347</v>
      </c>
      <c r="G162" s="1607"/>
      <c r="H162" s="1602"/>
      <c r="I162" s="1608"/>
      <c r="J162" s="1607"/>
      <c r="K162" s="1602"/>
      <c r="L162" s="1608"/>
    </row>
    <row r="163" spans="2:15" ht="29.25" customHeight="1">
      <c r="D163" s="1576"/>
      <c r="E163" s="895"/>
      <c r="F163" s="922" t="s">
        <v>2348</v>
      </c>
      <c r="G163" s="3374" t="s">
        <v>4147</v>
      </c>
      <c r="H163" s="3375" t="s">
        <v>4154</v>
      </c>
      <c r="I163" s="1608"/>
      <c r="J163" s="3374" t="s">
        <v>4155</v>
      </c>
      <c r="K163" s="3375" t="s">
        <v>4147</v>
      </c>
      <c r="L163" s="1608"/>
    </row>
    <row r="164" spans="2:15" ht="14.25">
      <c r="D164" s="1576"/>
      <c r="E164" s="895"/>
      <c r="F164" s="922" t="s">
        <v>2349</v>
      </c>
      <c r="G164" s="1607"/>
      <c r="H164" s="1602"/>
      <c r="I164" s="1608"/>
      <c r="J164" s="1607"/>
      <c r="K164" s="1602"/>
      <c r="L164" s="1608"/>
    </row>
    <row r="165" spans="2:15" ht="29.25" customHeight="1">
      <c r="D165" s="1576"/>
      <c r="E165" s="895"/>
      <c r="F165" s="933" t="s">
        <v>2350</v>
      </c>
      <c r="G165" s="3376" t="s">
        <v>4144</v>
      </c>
      <c r="H165" s="3377" t="s">
        <v>4156</v>
      </c>
      <c r="I165" s="1611"/>
      <c r="J165" s="3376" t="s">
        <v>4147</v>
      </c>
      <c r="K165" s="3377" t="s">
        <v>4144</v>
      </c>
      <c r="L165" s="1611"/>
    </row>
    <row r="166" spans="2:15" ht="14.25">
      <c r="D166" s="1576"/>
      <c r="E166" s="895"/>
      <c r="F166" s="3380" t="s">
        <v>4139</v>
      </c>
      <c r="G166" s="2040"/>
      <c r="H166" s="1443"/>
      <c r="I166" s="1443"/>
      <c r="J166" s="1443"/>
      <c r="K166" s="1443"/>
      <c r="L166" s="1443"/>
    </row>
    <row r="167" spans="2:15" ht="14.25">
      <c r="D167" s="1576"/>
      <c r="E167" s="895"/>
      <c r="F167" s="1597" t="s">
        <v>917</v>
      </c>
      <c r="G167" s="2040"/>
      <c r="H167" s="1443"/>
      <c r="I167" s="1443"/>
      <c r="J167" s="979" t="str">
        <f>IF(OR(F169=0,J168=0),$R$3,"")</f>
        <v/>
      </c>
      <c r="K167" s="1443"/>
      <c r="L167" s="1443"/>
      <c r="M167" s="1443"/>
      <c r="N167" s="1443"/>
      <c r="O167" s="2062"/>
    </row>
    <row r="168" spans="2:15" ht="15" thickBot="1">
      <c r="D168" s="1576"/>
      <c r="E168" s="1120"/>
      <c r="F168" s="1045"/>
      <c r="G168" s="904"/>
      <c r="H168" s="905" t="s">
        <v>1121</v>
      </c>
      <c r="I168" s="906"/>
      <c r="J168" s="907">
        <f>重み!M187</f>
        <v>0.33333333333333337</v>
      </c>
      <c r="K168" s="1046"/>
      <c r="L168" s="1046"/>
      <c r="M168" s="1046"/>
      <c r="N168" s="1046"/>
      <c r="O168" s="916"/>
    </row>
    <row r="169" spans="2:15" ht="16.5" thickBot="1">
      <c r="D169" s="888"/>
      <c r="E169" s="888"/>
      <c r="F169" s="910">
        <v>3</v>
      </c>
      <c r="G169" s="914" t="s">
        <v>1827</v>
      </c>
      <c r="H169" s="915"/>
      <c r="I169" s="915"/>
      <c r="J169" s="915"/>
      <c r="K169" s="915"/>
      <c r="L169" s="1244"/>
      <c r="M169" s="915"/>
      <c r="N169" s="1026" t="s">
        <v>701</v>
      </c>
      <c r="O169" s="916"/>
    </row>
    <row r="170" spans="2:15" ht="27.75" customHeight="1">
      <c r="B170" s="1">
        <v>1</v>
      </c>
      <c r="C170" s="1">
        <v>1</v>
      </c>
      <c r="D170" s="888"/>
      <c r="E170" s="888"/>
      <c r="F170" s="922" t="str">
        <f>IF(F169=$S$15,$T$10,IF(ROUNDDOWN(F169,0)=$S$10,$U$10,$T$10))</f>
        <v>　レベル　1</v>
      </c>
      <c r="G170" s="3816" t="s">
        <v>3963</v>
      </c>
      <c r="H170" s="4112"/>
      <c r="I170" s="4112"/>
      <c r="J170" s="4112"/>
      <c r="K170" s="4112"/>
      <c r="L170" s="4112"/>
      <c r="M170" s="4113"/>
      <c r="N170" s="4134" t="s">
        <v>1375</v>
      </c>
      <c r="O170" s="4135"/>
    </row>
    <row r="171" spans="2:15" ht="15.75">
      <c r="B171" s="1" t="s">
        <v>399</v>
      </c>
      <c r="C171" s="1">
        <v>2</v>
      </c>
      <c r="D171" s="888"/>
      <c r="E171" s="888"/>
      <c r="F171" s="922" t="str">
        <f>IF(F169=$S$15,$T$11,IF(ROUNDDOWN(F169,0)=$S$11,$U$11,$T$11))</f>
        <v>　レベル　2</v>
      </c>
      <c r="G171" s="1152" t="s">
        <v>1788</v>
      </c>
      <c r="H171" s="1285"/>
      <c r="I171" s="1285"/>
      <c r="J171" s="1285"/>
      <c r="K171" s="1285"/>
      <c r="L171" s="1399"/>
      <c r="M171" s="1285"/>
      <c r="N171" s="4136"/>
      <c r="O171" s="4137"/>
    </row>
    <row r="172" spans="2:15" ht="23.25" customHeight="1">
      <c r="B172" s="1">
        <v>3</v>
      </c>
      <c r="C172" s="1">
        <v>3</v>
      </c>
      <c r="D172" s="888"/>
      <c r="E172" s="888"/>
      <c r="F172" s="922" t="str">
        <f>IF(F169=$S$15,$T$12,IF(ROUNDDOWN(F169,0)=$S$12,$U$12,$T$12))</f>
        <v>■レベル　3</v>
      </c>
      <c r="G172" s="3754" t="s">
        <v>3964</v>
      </c>
      <c r="H172" s="3980"/>
      <c r="I172" s="3980"/>
      <c r="J172" s="3980"/>
      <c r="K172" s="3980"/>
      <c r="L172" s="3980"/>
      <c r="M172" s="3981"/>
      <c r="N172" s="4136"/>
      <c r="O172" s="4137"/>
    </row>
    <row r="173" spans="2:15" ht="15.75">
      <c r="B173" s="1" t="s">
        <v>399</v>
      </c>
      <c r="C173" s="1">
        <v>4</v>
      </c>
      <c r="D173" s="888"/>
      <c r="E173" s="888"/>
      <c r="F173" s="922" t="str">
        <f>IF(F169=$S$15,$T$13,IF(ROUNDDOWN(F169,0)=$S$13,$U$13,$T$13))</f>
        <v>　レベル　4</v>
      </c>
      <c r="G173" s="1152" t="s">
        <v>1788</v>
      </c>
      <c r="H173" s="1285"/>
      <c r="I173" s="1285"/>
      <c r="J173" s="1285"/>
      <c r="K173" s="1285"/>
      <c r="L173" s="1399"/>
      <c r="M173" s="1285"/>
      <c r="N173" s="4136"/>
      <c r="O173" s="4137"/>
    </row>
    <row r="174" spans="2:15" ht="15.75">
      <c r="B174" s="1" t="s">
        <v>399</v>
      </c>
      <c r="C174" s="1">
        <v>5</v>
      </c>
      <c r="D174" s="888"/>
      <c r="E174" s="2071"/>
      <c r="F174" s="933" t="str">
        <f>IF(F169=$S$15,$T$14,IF(ROUNDDOWN(F169,0)=$S$14,$U$14,$T$14))</f>
        <v>　レベル　5</v>
      </c>
      <c r="G174" s="1155" t="s">
        <v>1788</v>
      </c>
      <c r="H174" s="1290"/>
      <c r="I174" s="1290"/>
      <c r="J174" s="1290"/>
      <c r="K174" s="1290"/>
      <c r="L174" s="1598"/>
      <c r="M174" s="1290"/>
      <c r="N174" s="4138"/>
      <c r="O174" s="4139"/>
    </row>
    <row r="175" spans="2:15" ht="15.75">
      <c r="B175" s="940">
        <v>0</v>
      </c>
      <c r="C175" s="940">
        <v>0</v>
      </c>
      <c r="D175" s="888"/>
      <c r="E175" s="888"/>
      <c r="F175" s="1614"/>
      <c r="G175" s="1614"/>
      <c r="H175" s="1614"/>
      <c r="I175" s="1614"/>
      <c r="J175" s="1614"/>
      <c r="K175" s="1614"/>
      <c r="L175" s="1614"/>
      <c r="M175" s="1614"/>
      <c r="N175" s="1614"/>
      <c r="O175" s="2062"/>
    </row>
    <row r="176" spans="2:15" ht="13.5" customHeight="1">
      <c r="D176" s="1576">
        <v>3.2</v>
      </c>
      <c r="E176" s="1022" t="s">
        <v>3052</v>
      </c>
      <c r="F176" s="1615"/>
      <c r="G176" s="1615"/>
      <c r="H176" s="1615"/>
      <c r="I176" s="1615"/>
      <c r="J176" s="1615"/>
      <c r="K176" s="1615"/>
      <c r="L176" s="1615"/>
      <c r="M176" s="1615"/>
      <c r="N176" s="1615"/>
      <c r="O176" s="2062"/>
    </row>
    <row r="177" spans="2:15" ht="13.5" customHeight="1">
      <c r="D177" s="1576"/>
      <c r="E177" s="1022"/>
      <c r="F177" s="1435" t="s">
        <v>918</v>
      </c>
      <c r="G177" s="1615"/>
      <c r="H177" s="1615"/>
      <c r="I177" s="1615"/>
      <c r="J177" s="979" t="str">
        <f>IF(OR(F179=0,J178=0),$R$3,"")</f>
        <v/>
      </c>
      <c r="K177" s="1615"/>
      <c r="L177" s="1615"/>
      <c r="M177" s="1615"/>
      <c r="N177" s="1615"/>
      <c r="O177" s="2062"/>
    </row>
    <row r="178" spans="2:15" ht="15" thickBot="1">
      <c r="D178" s="1576"/>
      <c r="E178" s="1120"/>
      <c r="F178" s="1045"/>
      <c r="G178" s="904"/>
      <c r="H178" s="905" t="s">
        <v>1121</v>
      </c>
      <c r="I178" s="906"/>
      <c r="J178" s="907">
        <f>重み!M189</f>
        <v>0.7</v>
      </c>
      <c r="K178" s="1046"/>
      <c r="L178" s="1046"/>
      <c r="M178" s="1046"/>
      <c r="N178" s="1046"/>
      <c r="O178" s="916"/>
    </row>
    <row r="179" spans="2:15" ht="24" customHeight="1" thickBot="1">
      <c r="D179" s="1576"/>
      <c r="E179" s="888"/>
      <c r="F179" s="910">
        <v>3</v>
      </c>
      <c r="G179" s="914" t="s">
        <v>1827</v>
      </c>
      <c r="H179" s="915"/>
      <c r="I179" s="915"/>
      <c r="J179" s="915"/>
      <c r="K179" s="915"/>
      <c r="L179" s="1244"/>
      <c r="M179" s="915"/>
      <c r="N179" s="1026" t="s">
        <v>1092</v>
      </c>
      <c r="O179" s="916"/>
    </row>
    <row r="180" spans="2:15" ht="28.5" customHeight="1">
      <c r="B180" s="1491">
        <v>1</v>
      </c>
      <c r="C180" s="1">
        <v>1</v>
      </c>
      <c r="D180" s="888"/>
      <c r="E180" s="888"/>
      <c r="F180" s="922" t="str">
        <f>IF(F179=$S$15,$T$10,IF(ROUNDDOWN(F179,0)=$S$10,$U$10,$T$10))</f>
        <v>　レベル　1</v>
      </c>
      <c r="G180" s="919" t="s">
        <v>711</v>
      </c>
      <c r="H180" s="1227"/>
      <c r="I180" s="1227"/>
      <c r="J180" s="1227"/>
      <c r="K180" s="1227"/>
      <c r="L180" s="1398"/>
      <c r="M180" s="1227"/>
      <c r="N180" s="4140" t="s">
        <v>3037</v>
      </c>
      <c r="O180" s="4056"/>
    </row>
    <row r="181" spans="2:15" ht="28.5" customHeight="1">
      <c r="B181" s="1">
        <v>2</v>
      </c>
      <c r="C181" s="1">
        <v>2</v>
      </c>
      <c r="D181" s="888"/>
      <c r="E181" s="888"/>
      <c r="F181" s="922" t="str">
        <f>IF(F179=$S$15,$T$11,IF(ROUNDDOWN(F179,0)=$S$11,$U$11,$T$11))</f>
        <v>　レベル　2</v>
      </c>
      <c r="G181" s="3682" t="s">
        <v>3038</v>
      </c>
      <c r="H181" s="3986"/>
      <c r="I181" s="3986"/>
      <c r="J181" s="3986"/>
      <c r="K181" s="3986"/>
      <c r="L181" s="3986"/>
      <c r="M181" s="3987"/>
      <c r="N181" s="3793"/>
      <c r="O181" s="3898"/>
    </row>
    <row r="182" spans="2:15" ht="39" customHeight="1">
      <c r="B182" s="1">
        <v>3</v>
      </c>
      <c r="C182" s="1">
        <v>3</v>
      </c>
      <c r="D182" s="888"/>
      <c r="E182" s="888"/>
      <c r="F182" s="922" t="str">
        <f>IF(F179=$S$15,$T$12,IF(ROUNDDOWN(F179,0)=$S$12,$U$12,$T$12))</f>
        <v>■レベル　3</v>
      </c>
      <c r="G182" s="3682" t="s">
        <v>3039</v>
      </c>
      <c r="H182" s="3986"/>
      <c r="I182" s="3986"/>
      <c r="J182" s="3986"/>
      <c r="K182" s="3986"/>
      <c r="L182" s="3986"/>
      <c r="M182" s="3987"/>
      <c r="N182" s="3793"/>
      <c r="O182" s="3898"/>
    </row>
    <row r="183" spans="2:15" ht="28.5" customHeight="1">
      <c r="B183" s="1">
        <v>4</v>
      </c>
      <c r="C183" s="1">
        <v>4</v>
      </c>
      <c r="D183" s="888"/>
      <c r="E183" s="888"/>
      <c r="F183" s="922" t="str">
        <f>IF(F179=$S$15,$T$13,IF(ROUNDDOWN(F179,0)=$S$13,$U$13,$T$13))</f>
        <v>　レベル　4</v>
      </c>
      <c r="G183" s="3682" t="s">
        <v>3040</v>
      </c>
      <c r="H183" s="3986"/>
      <c r="I183" s="3986"/>
      <c r="J183" s="3986"/>
      <c r="K183" s="3986"/>
      <c r="L183" s="3986"/>
      <c r="M183" s="3987"/>
      <c r="N183" s="3793"/>
      <c r="O183" s="3898"/>
    </row>
    <row r="184" spans="2:15" ht="28.5" customHeight="1">
      <c r="B184" s="1">
        <v>5</v>
      </c>
      <c r="C184" s="1">
        <v>5</v>
      </c>
      <c r="D184" s="888"/>
      <c r="E184" s="888"/>
      <c r="F184" s="933" t="str">
        <f>IF(F179=$S$15,$T$14,IF(ROUNDDOWN(F179,0)=$S$14,$U$14,$T$14))</f>
        <v>　レベル　5</v>
      </c>
      <c r="G184" s="3680" t="s">
        <v>3041</v>
      </c>
      <c r="H184" s="4011"/>
      <c r="I184" s="4011"/>
      <c r="J184" s="4011"/>
      <c r="K184" s="4011"/>
      <c r="L184" s="4011"/>
      <c r="M184" s="4012"/>
      <c r="N184" s="4141"/>
      <c r="O184" s="4066"/>
    </row>
    <row r="185" spans="2:15" ht="15.75">
      <c r="B185" s="940">
        <v>0</v>
      </c>
      <c r="C185" s="940">
        <v>0</v>
      </c>
      <c r="D185" s="888"/>
      <c r="E185" s="888"/>
      <c r="F185" s="888"/>
      <c r="G185" s="888"/>
      <c r="H185" s="888"/>
      <c r="I185" s="888"/>
      <c r="J185" s="888"/>
      <c r="K185" s="2072"/>
      <c r="L185" s="2072"/>
      <c r="M185" s="2072"/>
      <c r="N185" s="2072"/>
      <c r="O185" s="2062"/>
    </row>
    <row r="186" spans="2:15" ht="15.75">
      <c r="D186" s="888"/>
      <c r="E186" s="888"/>
      <c r="F186" s="1435" t="s">
        <v>2024</v>
      </c>
      <c r="G186" s="888"/>
      <c r="H186" s="888"/>
      <c r="I186" s="888"/>
      <c r="J186" s="979" t="str">
        <f>IF(OR(F188=0,J187=0),$R$3,"")</f>
        <v>&lt;評価しない&gt;</v>
      </c>
      <c r="K186" s="2072"/>
      <c r="L186" s="2072"/>
      <c r="M186" s="2072"/>
      <c r="N186" s="2072"/>
      <c r="O186" s="2062"/>
    </row>
    <row r="187" spans="2:15" ht="15" thickBot="1">
      <c r="D187" s="1576"/>
      <c r="E187" s="1120"/>
      <c r="F187" s="1045"/>
      <c r="G187" s="904"/>
      <c r="H187" s="905" t="s">
        <v>1121</v>
      </c>
      <c r="I187" s="906"/>
      <c r="J187" s="907">
        <f>重み!M190</f>
        <v>0</v>
      </c>
      <c r="K187" s="1046"/>
      <c r="L187" s="1046"/>
      <c r="M187" s="1046"/>
      <c r="N187" s="1046"/>
      <c r="O187" s="916"/>
    </row>
    <row r="188" spans="2:15" ht="16.5" thickBot="1">
      <c r="D188" s="888"/>
      <c r="E188" s="888"/>
      <c r="F188" s="910">
        <f>IF(J187=0,0,IF(H201&gt;=4,5,IF(H201=3,4,IF(H201=2,3,IF(H201=1,2,1)))))</f>
        <v>0</v>
      </c>
      <c r="G188" s="914" t="s">
        <v>2025</v>
      </c>
      <c r="H188" s="915"/>
      <c r="I188" s="915"/>
      <c r="J188" s="915"/>
      <c r="K188" s="915"/>
      <c r="L188" s="1244"/>
      <c r="M188" s="915"/>
      <c r="N188" s="915"/>
      <c r="O188" s="916"/>
    </row>
    <row r="189" spans="2:15" ht="15.75">
      <c r="B189" s="1" t="s">
        <v>400</v>
      </c>
      <c r="C189" s="1">
        <v>1</v>
      </c>
      <c r="D189" s="888"/>
      <c r="E189" s="888"/>
      <c r="F189" s="922" t="str">
        <f>IF(F188=$S$15,$T$10,IF(ROUNDDOWN(F188,0)=$S$10,$U$10,$T$10))</f>
        <v>　レベル　1</v>
      </c>
      <c r="G189" s="1149" t="s">
        <v>2026</v>
      </c>
      <c r="H189" s="1227"/>
      <c r="I189" s="1227"/>
      <c r="J189" s="1227"/>
      <c r="K189" s="1227"/>
      <c r="L189" s="1398"/>
      <c r="M189" s="1227"/>
      <c r="N189" s="1227"/>
      <c r="O189" s="1228"/>
    </row>
    <row r="190" spans="2:15" ht="15.75">
      <c r="B190" s="1">
        <v>2</v>
      </c>
      <c r="C190" s="1">
        <v>2</v>
      </c>
      <c r="D190" s="888"/>
      <c r="E190" s="888"/>
      <c r="F190" s="922" t="str">
        <f>IF(F188=$S$15,$T$11,IF(ROUNDDOWN(F188,0)=$S$11,$U$11,$T$11))</f>
        <v>　レベル　2</v>
      </c>
      <c r="G190" s="1152" t="s">
        <v>919</v>
      </c>
      <c r="H190" s="1285"/>
      <c r="I190" s="1285"/>
      <c r="J190" s="1285"/>
      <c r="K190" s="1285"/>
      <c r="L190" s="1399"/>
      <c r="M190" s="1285"/>
      <c r="N190" s="1285"/>
      <c r="O190" s="1286"/>
    </row>
    <row r="191" spans="2:15" ht="15.75">
      <c r="B191" s="1">
        <v>3</v>
      </c>
      <c r="C191" s="1">
        <v>3</v>
      </c>
      <c r="D191" s="888"/>
      <c r="E191" s="888"/>
      <c r="F191" s="922" t="str">
        <f>IF(F188=$S$15,$T$12,IF(ROUNDDOWN(F188,0)=$S$12,$U$12,$T$12))</f>
        <v>　レベル　3</v>
      </c>
      <c r="G191" s="1152" t="s">
        <v>3042</v>
      </c>
      <c r="H191" s="1285"/>
      <c r="I191" s="1285"/>
      <c r="J191" s="1285"/>
      <c r="K191" s="1285"/>
      <c r="L191" s="1399"/>
      <c r="M191" s="1285"/>
      <c r="N191" s="1285"/>
      <c r="O191" s="1286"/>
    </row>
    <row r="192" spans="2:15" ht="15.75">
      <c r="B192" s="1">
        <v>4</v>
      </c>
      <c r="C192" s="1">
        <v>4</v>
      </c>
      <c r="D192" s="888"/>
      <c r="E192" s="888"/>
      <c r="F192" s="922" t="str">
        <f>IF(F188=$S$15,$T$13,IF(ROUNDDOWN(F188,0)=$S$13,$U$13,$T$13))</f>
        <v>　レベル　4</v>
      </c>
      <c r="G192" s="1152" t="s">
        <v>3043</v>
      </c>
      <c r="H192" s="1285"/>
      <c r="I192" s="1285"/>
      <c r="J192" s="1285"/>
      <c r="K192" s="1285"/>
      <c r="L192" s="1399"/>
      <c r="M192" s="1285"/>
      <c r="N192" s="1285"/>
      <c r="O192" s="1286"/>
    </row>
    <row r="193" spans="2:15" ht="15.75">
      <c r="B193" s="1">
        <v>5</v>
      </c>
      <c r="C193" s="1">
        <v>5</v>
      </c>
      <c r="D193" s="888"/>
      <c r="E193" s="888"/>
      <c r="F193" s="933" t="str">
        <f>IF(F188=$S$15,$T$14,IF(ROUNDDOWN(F188,0)=$S$14,$U$14,$T$14))</f>
        <v>　レベル　5</v>
      </c>
      <c r="G193" s="1155" t="s">
        <v>3044</v>
      </c>
      <c r="H193" s="1290"/>
      <c r="I193" s="1290"/>
      <c r="J193" s="1290"/>
      <c r="K193" s="1290"/>
      <c r="L193" s="1598"/>
      <c r="M193" s="1290"/>
      <c r="N193" s="1290"/>
      <c r="O193" s="1291"/>
    </row>
    <row r="194" spans="2:15" ht="15.75">
      <c r="B194" s="940">
        <v>0</v>
      </c>
      <c r="C194" s="940">
        <v>0</v>
      </c>
      <c r="D194" s="888"/>
      <c r="E194" s="888"/>
      <c r="F194" s="888"/>
      <c r="G194" s="1278" t="s">
        <v>2203</v>
      </c>
      <c r="H194" s="888"/>
      <c r="I194" s="888"/>
      <c r="J194" s="888"/>
      <c r="K194" s="2072"/>
      <c r="L194" s="2072"/>
      <c r="M194" s="2072"/>
      <c r="N194" s="2072"/>
      <c r="O194" s="2062"/>
    </row>
    <row r="195" spans="2:15" ht="16.5" thickBot="1">
      <c r="B195" s="1616"/>
      <c r="C195" s="1616"/>
      <c r="D195" s="888"/>
      <c r="E195" s="888"/>
      <c r="F195" s="1617"/>
      <c r="G195" s="1280" t="s">
        <v>187</v>
      </c>
      <c r="H195" s="3888" t="s">
        <v>2052</v>
      </c>
      <c r="I195" s="3889"/>
      <c r="J195" s="3890"/>
      <c r="K195" s="3888" t="s">
        <v>920</v>
      </c>
      <c r="L195" s="3889"/>
      <c r="M195" s="3889"/>
      <c r="N195" s="3889"/>
      <c r="O195" s="1068" t="s">
        <v>2053</v>
      </c>
    </row>
    <row r="196" spans="2:15" ht="30" customHeight="1">
      <c r="B196" s="1616"/>
      <c r="C196" s="1616"/>
      <c r="D196" s="888"/>
      <c r="E196" s="888"/>
      <c r="F196" s="1617"/>
      <c r="G196" s="4108">
        <v>2</v>
      </c>
      <c r="H196" s="4125" t="s">
        <v>921</v>
      </c>
      <c r="I196" s="3715"/>
      <c r="J196" s="4151"/>
      <c r="K196" s="3695" t="s">
        <v>3045</v>
      </c>
      <c r="L196" s="4089"/>
      <c r="M196" s="4089"/>
      <c r="N196" s="4089"/>
      <c r="O196" s="2068">
        <v>1</v>
      </c>
    </row>
    <row r="197" spans="2:15" ht="15.75" customHeight="1">
      <c r="B197" s="1616"/>
      <c r="C197" s="1616"/>
      <c r="D197" s="888"/>
      <c r="E197" s="888"/>
      <c r="F197" s="1617"/>
      <c r="G197" s="4109"/>
      <c r="H197" s="4152"/>
      <c r="I197" s="4152"/>
      <c r="J197" s="4153"/>
      <c r="K197" s="3700" t="s">
        <v>3046</v>
      </c>
      <c r="L197" s="4096"/>
      <c r="M197" s="4096"/>
      <c r="N197" s="4096"/>
      <c r="O197" s="2069">
        <v>2</v>
      </c>
    </row>
    <row r="198" spans="2:15" ht="15.75" customHeight="1">
      <c r="B198" s="1616"/>
      <c r="C198" s="1616"/>
      <c r="D198" s="888"/>
      <c r="E198" s="888"/>
      <c r="F198" s="1617"/>
      <c r="G198" s="3874">
        <v>0</v>
      </c>
      <c r="H198" s="4090" t="s">
        <v>922</v>
      </c>
      <c r="I198" s="4099"/>
      <c r="J198" s="4100"/>
      <c r="K198" s="3700" t="s">
        <v>3047</v>
      </c>
      <c r="L198" s="4096"/>
      <c r="M198" s="4096"/>
      <c r="N198" s="4096"/>
      <c r="O198" s="2069">
        <v>1</v>
      </c>
    </row>
    <row r="199" spans="2:15" ht="15.75">
      <c r="B199" s="1616"/>
      <c r="C199" s="1616"/>
      <c r="D199" s="888"/>
      <c r="E199" s="888"/>
      <c r="F199" s="1617"/>
      <c r="G199" s="4097"/>
      <c r="H199" s="4101"/>
      <c r="I199" s="4102"/>
      <c r="J199" s="4103"/>
      <c r="K199" s="3700" t="s">
        <v>923</v>
      </c>
      <c r="L199" s="4096"/>
      <c r="M199" s="4096"/>
      <c r="N199" s="4096"/>
      <c r="O199" s="2069">
        <v>2</v>
      </c>
    </row>
    <row r="200" spans="2:15" ht="16.5" thickBot="1">
      <c r="B200" s="1616"/>
      <c r="C200" s="1616"/>
      <c r="D200" s="888"/>
      <c r="E200" s="888"/>
      <c r="F200" s="1617"/>
      <c r="G200" s="4098"/>
      <c r="H200" s="4104"/>
      <c r="I200" s="4105"/>
      <c r="J200" s="4106"/>
      <c r="K200" s="4107" t="s">
        <v>2027</v>
      </c>
      <c r="L200" s="4094"/>
      <c r="M200" s="4094"/>
      <c r="N200" s="4094"/>
      <c r="O200" s="2070">
        <v>4</v>
      </c>
    </row>
    <row r="201" spans="2:15" ht="15.75">
      <c r="B201" s="1616"/>
      <c r="C201" s="1616"/>
      <c r="D201" s="888"/>
      <c r="E201" s="888"/>
      <c r="F201" s="1617"/>
      <c r="G201" s="1170" t="s">
        <v>1454</v>
      </c>
      <c r="H201" s="3033">
        <f>SUM(G196:G200)</f>
        <v>2</v>
      </c>
      <c r="I201" s="3032" t="s">
        <v>3965</v>
      </c>
      <c r="J201" s="3119"/>
      <c r="K201" s="1172"/>
      <c r="L201" s="1173"/>
      <c r="M201" s="1172"/>
      <c r="N201" s="1173"/>
      <c r="O201" s="1281"/>
    </row>
    <row r="202" spans="2:15" ht="15.75">
      <c r="B202" s="1616"/>
      <c r="C202" s="1616"/>
      <c r="D202" s="888"/>
      <c r="E202" s="888"/>
      <c r="F202" s="1617"/>
      <c r="G202" s="1617"/>
      <c r="H202" s="1617"/>
      <c r="I202" s="1617"/>
      <c r="J202" s="1617"/>
      <c r="K202" s="1617"/>
      <c r="L202" s="1617"/>
      <c r="M202" s="1617"/>
      <c r="N202" s="1617"/>
      <c r="O202" s="1617"/>
    </row>
    <row r="203" spans="2:15" ht="15.75">
      <c r="D203" s="888"/>
      <c r="E203" s="888"/>
      <c r="F203" s="1435" t="s">
        <v>2028</v>
      </c>
      <c r="G203" s="888"/>
      <c r="H203" s="888"/>
      <c r="I203" s="888"/>
      <c r="J203" s="888"/>
      <c r="K203" s="2072"/>
      <c r="L203" s="2072"/>
      <c r="M203" s="2072"/>
      <c r="N203" s="2072"/>
      <c r="O203" s="2062"/>
    </row>
    <row r="204" spans="2:15" ht="15" thickBot="1">
      <c r="D204" s="1576"/>
      <c r="E204" s="1120"/>
      <c r="F204" s="1045"/>
      <c r="G204" s="904"/>
      <c r="H204" s="905" t="s">
        <v>1121</v>
      </c>
      <c r="I204" s="906"/>
      <c r="J204" s="907">
        <f>重み!M191</f>
        <v>0.3</v>
      </c>
      <c r="K204" s="1046"/>
      <c r="L204" s="1046"/>
      <c r="M204" s="1046"/>
      <c r="N204" s="1046"/>
      <c r="O204" s="916"/>
    </row>
    <row r="205" spans="2:15" ht="24" customHeight="1" thickBot="1">
      <c r="D205" s="888"/>
      <c r="E205" s="888"/>
      <c r="F205" s="910">
        <v>3</v>
      </c>
      <c r="G205" s="914" t="s">
        <v>1827</v>
      </c>
      <c r="H205" s="915"/>
      <c r="I205" s="915"/>
      <c r="J205" s="915"/>
      <c r="K205" s="915"/>
      <c r="L205" s="1244"/>
      <c r="M205" s="915"/>
      <c r="N205" s="915"/>
      <c r="O205" s="916"/>
    </row>
    <row r="206" spans="2:15" ht="20.25" customHeight="1">
      <c r="B206" s="1" t="s">
        <v>1246</v>
      </c>
      <c r="C206" s="1">
        <v>1</v>
      </c>
      <c r="D206" s="888"/>
      <c r="E206" s="888"/>
      <c r="F206" s="922" t="str">
        <f>IF(F205=$S$15,$T$10,IF(ROUNDDOWN(F205,0)=$S$10,$U$10,$T$10))</f>
        <v>　レベル　1</v>
      </c>
      <c r="G206" s="1149" t="s">
        <v>1788</v>
      </c>
      <c r="H206" s="1227"/>
      <c r="I206" s="1227"/>
      <c r="J206" s="1227"/>
      <c r="K206" s="1227"/>
      <c r="L206" s="1398"/>
      <c r="M206" s="1227"/>
      <c r="N206" s="1227"/>
      <c r="O206" s="1228"/>
    </row>
    <row r="207" spans="2:15" ht="20.25" customHeight="1">
      <c r="B207" s="1" t="s">
        <v>1246</v>
      </c>
      <c r="C207" s="1">
        <v>2</v>
      </c>
      <c r="D207" s="888"/>
      <c r="E207" s="888"/>
      <c r="F207" s="922" t="str">
        <f>IF(F205=$S$15,$T$11,IF(ROUNDDOWN(F205,0)=$S$11,$U$11,$T$11))</f>
        <v>　レベル　2</v>
      </c>
      <c r="G207" s="1152" t="s">
        <v>1788</v>
      </c>
      <c r="H207" s="1285"/>
      <c r="I207" s="1285"/>
      <c r="J207" s="1285"/>
      <c r="K207" s="1285"/>
      <c r="L207" s="1399"/>
      <c r="M207" s="1285"/>
      <c r="N207" s="1285"/>
      <c r="O207" s="1286"/>
    </row>
    <row r="208" spans="2:15" ht="20.25" customHeight="1">
      <c r="B208" s="1">
        <v>3</v>
      </c>
      <c r="C208" s="1">
        <v>3</v>
      </c>
      <c r="D208" s="888"/>
      <c r="E208" s="888"/>
      <c r="F208" s="922" t="str">
        <f>IF(F205=$S$15,$T$12,IF(ROUNDDOWN(F205,0)=$S$12,$U$12,$T$12))</f>
        <v>■レベル　3</v>
      </c>
      <c r="G208" s="1152" t="s">
        <v>3048</v>
      </c>
      <c r="H208" s="1285"/>
      <c r="I208" s="1285"/>
      <c r="J208" s="1285"/>
      <c r="K208" s="1285"/>
      <c r="L208" s="1399"/>
      <c r="M208" s="1285"/>
      <c r="N208" s="1285"/>
      <c r="O208" s="1286"/>
    </row>
    <row r="209" spans="2:15" ht="20.25" customHeight="1">
      <c r="B209" s="1">
        <v>4</v>
      </c>
      <c r="C209" s="1">
        <v>4</v>
      </c>
      <c r="D209" s="888"/>
      <c r="E209" s="888"/>
      <c r="F209" s="922" t="str">
        <f>IF(F205=$S$15,$T$13,IF(ROUNDDOWN(F205,0)=$S$13,$U$13,$T$13))</f>
        <v>　レベル　4</v>
      </c>
      <c r="G209" s="1152" t="s">
        <v>2393</v>
      </c>
      <c r="H209" s="1285"/>
      <c r="I209" s="1285"/>
      <c r="J209" s="1285"/>
      <c r="K209" s="1285"/>
      <c r="L209" s="1399"/>
      <c r="M209" s="1285"/>
      <c r="N209" s="1285"/>
      <c r="O209" s="1286"/>
    </row>
    <row r="210" spans="2:15" ht="20.25" customHeight="1">
      <c r="B210" s="1" t="s">
        <v>1246</v>
      </c>
      <c r="C210" s="1">
        <v>5</v>
      </c>
      <c r="D210" s="888"/>
      <c r="E210" s="888"/>
      <c r="F210" s="933" t="str">
        <f>IF(F205=$S$15,$T$14,IF(ROUNDDOWN(F205,0)=$S$14,$U$14,$T$14))</f>
        <v>　レベル　5</v>
      </c>
      <c r="G210" s="1155" t="s">
        <v>1788</v>
      </c>
      <c r="H210" s="1290"/>
      <c r="I210" s="1290"/>
      <c r="J210" s="1290"/>
      <c r="K210" s="1290"/>
      <c r="L210" s="1598"/>
      <c r="M210" s="1290"/>
      <c r="N210" s="1290"/>
      <c r="O210" s="1291"/>
    </row>
    <row r="211" spans="2:15" ht="24" customHeight="1">
      <c r="B211" s="940">
        <v>0</v>
      </c>
      <c r="C211" s="940">
        <v>0</v>
      </c>
      <c r="D211" s="888"/>
      <c r="E211" s="888"/>
      <c r="F211" s="4154" t="s">
        <v>3049</v>
      </c>
      <c r="G211" s="4154"/>
      <c r="H211" s="4154"/>
      <c r="I211" s="4154"/>
      <c r="J211" s="4154"/>
      <c r="K211" s="4154"/>
      <c r="L211" s="4154"/>
      <c r="M211" s="4154"/>
      <c r="N211" s="4154"/>
      <c r="O211" s="4154"/>
    </row>
    <row r="212" spans="2:15" ht="15.75">
      <c r="D212" s="888"/>
      <c r="E212" s="888"/>
      <c r="F212" s="1617"/>
      <c r="G212" s="1617"/>
      <c r="H212" s="1617"/>
      <c r="I212" s="1617"/>
      <c r="J212" s="1617"/>
      <c r="K212" s="1617"/>
      <c r="L212" s="1617"/>
      <c r="M212" s="1617"/>
      <c r="N212" s="1617"/>
      <c r="O212" s="1617"/>
    </row>
    <row r="213" spans="2:15" ht="14.25">
      <c r="D213" s="1576">
        <v>3.3</v>
      </c>
      <c r="E213" s="1022" t="s">
        <v>2029</v>
      </c>
      <c r="F213" s="1022"/>
      <c r="G213" s="1617"/>
      <c r="H213" s="1617"/>
      <c r="I213" s="1617"/>
      <c r="J213" s="1617"/>
      <c r="K213" s="1617"/>
      <c r="L213" s="1617"/>
      <c r="M213" s="1617"/>
      <c r="N213" s="1617"/>
      <c r="O213" s="1617"/>
    </row>
    <row r="214" spans="2:15" ht="14.25">
      <c r="D214" s="1576"/>
      <c r="E214" s="1022"/>
      <c r="F214" s="1435" t="s">
        <v>2394</v>
      </c>
      <c r="G214" s="1617"/>
      <c r="H214" s="1617"/>
      <c r="I214" s="1617"/>
      <c r="J214" s="1617"/>
      <c r="K214" s="1617"/>
      <c r="L214" s="1617"/>
      <c r="M214" s="1617"/>
      <c r="N214" s="1617"/>
      <c r="O214" s="1617"/>
    </row>
    <row r="215" spans="2:15" ht="14.25" thickBot="1">
      <c r="D215" s="1120"/>
      <c r="E215" s="1120"/>
      <c r="F215" s="1045"/>
      <c r="G215" s="904"/>
      <c r="H215" s="905" t="s">
        <v>1121</v>
      </c>
      <c r="I215" s="906"/>
      <c r="J215" s="907">
        <f>重み!M193</f>
        <v>0.7</v>
      </c>
      <c r="K215" s="1046"/>
      <c r="L215" s="1046"/>
      <c r="M215" s="1046"/>
      <c r="N215" s="1046"/>
      <c r="O215" s="916"/>
    </row>
    <row r="216" spans="2:15" ht="29.25" customHeight="1" thickBot="1">
      <c r="D216" s="888"/>
      <c r="E216" s="886"/>
      <c r="F216" s="1276">
        <f>IF(H230&lt;=0,1,IF(H230&lt;=1,2,IF(H230&lt;=2,3,IF(H230&lt;=3,4,IF(H230&gt;=4,5)))))</f>
        <v>3</v>
      </c>
      <c r="G216" s="914" t="s">
        <v>390</v>
      </c>
      <c r="H216" s="915"/>
      <c r="I216" s="915"/>
      <c r="J216" s="915"/>
      <c r="K216" s="915"/>
      <c r="L216" s="1244"/>
      <c r="M216" s="915"/>
      <c r="N216" s="915"/>
      <c r="O216" s="916"/>
    </row>
    <row r="217" spans="2:15" ht="19.5" customHeight="1">
      <c r="D217" s="888"/>
      <c r="E217" s="886"/>
      <c r="F217" s="922" t="str">
        <f>IF(F216=$S$15,$T$10,IF(ROUNDDOWN(F216,0)=$S$10,$U$10,$T$10))</f>
        <v>　レベル　1</v>
      </c>
      <c r="G217" s="1149" t="s">
        <v>989</v>
      </c>
      <c r="H217" s="1227"/>
      <c r="I217" s="1227"/>
      <c r="J217" s="1227"/>
      <c r="K217" s="1227"/>
      <c r="L217" s="1398"/>
      <c r="M217" s="1227"/>
      <c r="N217" s="1227"/>
      <c r="O217" s="1228"/>
    </row>
    <row r="218" spans="2:15" ht="19.5" customHeight="1">
      <c r="D218" s="888"/>
      <c r="E218" s="886"/>
      <c r="F218" s="922" t="str">
        <f>IF(F216=$S$15,$T$11,IF(ROUNDDOWN(F216,0)=$S$11,$U$11,$T$11))</f>
        <v>　レベル　2</v>
      </c>
      <c r="G218" s="1152" t="s">
        <v>1344</v>
      </c>
      <c r="H218" s="1285"/>
      <c r="I218" s="1285"/>
      <c r="J218" s="1285"/>
      <c r="K218" s="1285"/>
      <c r="L218" s="1399"/>
      <c r="M218" s="1285"/>
      <c r="N218" s="1285"/>
      <c r="O218" s="1286"/>
    </row>
    <row r="219" spans="2:15" ht="19.5" customHeight="1">
      <c r="D219" s="888"/>
      <c r="E219" s="886"/>
      <c r="F219" s="922" t="str">
        <f>IF(F216=$S$15,$T$12,IF(ROUNDDOWN(F216,0)=$S$12,$U$12,$T$12))</f>
        <v>■レベル　3</v>
      </c>
      <c r="G219" s="1152" t="s">
        <v>1345</v>
      </c>
      <c r="H219" s="1285"/>
      <c r="I219" s="1285"/>
      <c r="J219" s="1285"/>
      <c r="K219" s="1285"/>
      <c r="L219" s="1399"/>
      <c r="M219" s="1285"/>
      <c r="N219" s="1285"/>
      <c r="O219" s="1286"/>
    </row>
    <row r="220" spans="2:15" ht="19.5" customHeight="1">
      <c r="D220" s="888"/>
      <c r="E220" s="886"/>
      <c r="F220" s="922" t="str">
        <f>IF(F216=$S$15,$T$13,IF(ROUNDDOWN(F216,0)=$S$13,$U$13,$T$13))</f>
        <v>　レベル　4</v>
      </c>
      <c r="G220" s="1152" t="s">
        <v>1346</v>
      </c>
      <c r="H220" s="1285"/>
      <c r="I220" s="1285"/>
      <c r="J220" s="1285"/>
      <c r="K220" s="1285"/>
      <c r="L220" s="1399"/>
      <c r="M220" s="1285"/>
      <c r="N220" s="1285"/>
      <c r="O220" s="1286"/>
    </row>
    <row r="221" spans="2:15" ht="19.5" customHeight="1">
      <c r="D221" s="888"/>
      <c r="E221" s="886"/>
      <c r="F221" s="933" t="str">
        <f>IF(F216=$S$15,$T$14,IF(ROUNDDOWN(F216,0)=$S$14,$U$14,$T$14))</f>
        <v>　レベル　5</v>
      </c>
      <c r="G221" s="1155" t="s">
        <v>107</v>
      </c>
      <c r="H221" s="1290"/>
      <c r="I221" s="1290"/>
      <c r="J221" s="1290"/>
      <c r="K221" s="1290"/>
      <c r="L221" s="1598"/>
      <c r="M221" s="1290"/>
      <c r="N221" s="1290"/>
      <c r="O221" s="1291"/>
    </row>
    <row r="222" spans="2:15" ht="15.75">
      <c r="D222" s="888"/>
      <c r="E222" s="886"/>
      <c r="F222" s="888"/>
      <c r="G222" s="1278" t="s">
        <v>2030</v>
      </c>
      <c r="H222" s="889"/>
      <c r="I222" s="1279"/>
      <c r="J222" s="1268"/>
      <c r="K222" s="1268"/>
      <c r="L222" s="889"/>
      <c r="M222" s="889"/>
      <c r="N222" s="889"/>
      <c r="O222" s="2072"/>
    </row>
    <row r="223" spans="2:15" ht="16.5" thickBot="1">
      <c r="D223" s="888"/>
      <c r="E223" s="1279"/>
      <c r="F223" s="886"/>
      <c r="G223" s="1175" t="s">
        <v>187</v>
      </c>
      <c r="H223" s="4155" t="s">
        <v>920</v>
      </c>
      <c r="I223" s="4155"/>
      <c r="J223" s="4155"/>
      <c r="K223" s="4155"/>
      <c r="L223" s="4155"/>
      <c r="M223" s="4155"/>
      <c r="N223" s="4155"/>
      <c r="O223" s="1068" t="s">
        <v>1435</v>
      </c>
    </row>
    <row r="224" spans="2:15" ht="15.75">
      <c r="D224" s="888"/>
      <c r="E224" s="889"/>
      <c r="F224" s="886"/>
      <c r="G224" s="4108">
        <v>2</v>
      </c>
      <c r="H224" s="4156" t="s">
        <v>2031</v>
      </c>
      <c r="I224" s="4157"/>
      <c r="J224" s="4157"/>
      <c r="K224" s="4157"/>
      <c r="L224" s="4157"/>
      <c r="M224" s="4157"/>
      <c r="N224" s="4157"/>
      <c r="O224" s="4158" t="s">
        <v>2055</v>
      </c>
    </row>
    <row r="225" spans="2:15" ht="15.75">
      <c r="D225" s="888"/>
      <c r="E225" s="889"/>
      <c r="F225" s="886"/>
      <c r="G225" s="3876"/>
      <c r="H225" s="4143" t="s">
        <v>2315</v>
      </c>
      <c r="I225" s="4144"/>
      <c r="J225" s="4144"/>
      <c r="K225" s="4144"/>
      <c r="L225" s="4144"/>
      <c r="M225" s="4144"/>
      <c r="N225" s="4144"/>
      <c r="O225" s="4117"/>
    </row>
    <row r="226" spans="2:15" ht="15.75">
      <c r="D226" s="888"/>
      <c r="E226" s="889"/>
      <c r="F226" s="886"/>
      <c r="G226" s="3875"/>
      <c r="H226" s="4145" t="s">
        <v>2316</v>
      </c>
      <c r="I226" s="4146"/>
      <c r="J226" s="4146"/>
      <c r="K226" s="4146"/>
      <c r="L226" s="4146"/>
      <c r="M226" s="4146"/>
      <c r="N226" s="4146"/>
      <c r="O226" s="4117"/>
    </row>
    <row r="227" spans="2:15" ht="15.75">
      <c r="D227" s="888"/>
      <c r="E227" s="889"/>
      <c r="F227" s="886"/>
      <c r="G227" s="3874">
        <v>0</v>
      </c>
      <c r="H227" s="4186" t="s">
        <v>2317</v>
      </c>
      <c r="I227" s="4187"/>
      <c r="J227" s="4187"/>
      <c r="K227" s="4187"/>
      <c r="L227" s="4187"/>
      <c r="M227" s="4187"/>
      <c r="N227" s="4187"/>
      <c r="O227" s="4117" t="s">
        <v>108</v>
      </c>
    </row>
    <row r="228" spans="2:15" ht="15.75">
      <c r="D228" s="888"/>
      <c r="E228" s="889"/>
      <c r="F228" s="886"/>
      <c r="G228" s="3876"/>
      <c r="H228" s="4143" t="s">
        <v>109</v>
      </c>
      <c r="I228" s="4144"/>
      <c r="J228" s="4144"/>
      <c r="K228" s="4144"/>
      <c r="L228" s="4144"/>
      <c r="M228" s="4144"/>
      <c r="N228" s="4144"/>
      <c r="O228" s="4117"/>
    </row>
    <row r="229" spans="2:15" ht="16.5" thickBot="1">
      <c r="D229" s="888"/>
      <c r="E229" s="889"/>
      <c r="F229" s="886"/>
      <c r="G229" s="3877"/>
      <c r="H229" s="4145" t="s">
        <v>3050</v>
      </c>
      <c r="I229" s="4146"/>
      <c r="J229" s="4146"/>
      <c r="K229" s="4146"/>
      <c r="L229" s="4146"/>
      <c r="M229" s="4146"/>
      <c r="N229" s="4146"/>
      <c r="O229" s="4117"/>
    </row>
    <row r="230" spans="2:15" ht="15.75">
      <c r="D230" s="888"/>
      <c r="E230" s="889"/>
      <c r="F230" s="886"/>
      <c r="G230" s="1170" t="s">
        <v>1454</v>
      </c>
      <c r="H230" s="3033">
        <f>SUM(G224:G229)</f>
        <v>2</v>
      </c>
      <c r="I230" s="3032" t="s">
        <v>3966</v>
      </c>
      <c r="J230" s="1189"/>
      <c r="K230" s="1172"/>
      <c r="L230" s="1173"/>
      <c r="M230" s="1172"/>
      <c r="N230" s="1173"/>
      <c r="O230" s="1182"/>
    </row>
    <row r="231" spans="2:15" ht="15.75">
      <c r="D231" s="888"/>
      <c r="E231" s="889"/>
      <c r="F231" s="889"/>
      <c r="G231" s="889"/>
      <c r="H231" s="889"/>
      <c r="I231" s="889"/>
      <c r="J231" s="889"/>
      <c r="K231" s="889"/>
      <c r="L231" s="889"/>
      <c r="M231" s="889"/>
      <c r="N231" s="889"/>
      <c r="O231" s="889"/>
    </row>
    <row r="232" spans="2:15" ht="15.75">
      <c r="D232" s="888"/>
      <c r="E232" s="889"/>
      <c r="F232" s="1435" t="s">
        <v>110</v>
      </c>
      <c r="G232" s="889"/>
      <c r="H232" s="889"/>
      <c r="I232" s="889"/>
      <c r="J232" s="889"/>
      <c r="K232" s="889"/>
      <c r="L232" s="889"/>
      <c r="M232" s="889"/>
      <c r="N232" s="889"/>
      <c r="O232" s="889"/>
    </row>
    <row r="233" spans="2:15" ht="15" thickBot="1">
      <c r="D233" s="1575"/>
      <c r="E233" s="886"/>
      <c r="F233" s="1045"/>
      <c r="G233" s="904"/>
      <c r="H233" s="905" t="s">
        <v>1121</v>
      </c>
      <c r="I233" s="906"/>
      <c r="J233" s="907">
        <f>重み!M194</f>
        <v>0.3</v>
      </c>
      <c r="K233" s="1046"/>
      <c r="L233" s="1046"/>
      <c r="M233" s="1046"/>
      <c r="N233" s="1046"/>
      <c r="O233" s="916"/>
    </row>
    <row r="234" spans="2:15" ht="15" thickBot="1">
      <c r="D234" s="1575"/>
      <c r="E234" s="886"/>
      <c r="F234" s="910">
        <v>3</v>
      </c>
      <c r="G234" s="914" t="s">
        <v>74</v>
      </c>
      <c r="H234" s="915"/>
      <c r="I234" s="915"/>
      <c r="J234" s="915"/>
      <c r="K234" s="915"/>
      <c r="L234" s="1244"/>
      <c r="M234" s="915"/>
      <c r="N234" s="915"/>
      <c r="O234" s="916"/>
    </row>
    <row r="235" spans="2:15" ht="19.5" customHeight="1">
      <c r="B235" s="1" t="s">
        <v>1787</v>
      </c>
      <c r="C235" s="1">
        <v>1</v>
      </c>
      <c r="D235" s="1575"/>
      <c r="E235" s="886"/>
      <c r="F235" s="922" t="str">
        <f>IF(F234=$S$15,$T$10,IF(ROUNDDOWN(F234,0)=$S$10,$U$10,$T$10))</f>
        <v>　レベル　1</v>
      </c>
      <c r="G235" s="1149" t="s">
        <v>276</v>
      </c>
      <c r="H235" s="1150"/>
      <c r="I235" s="1150"/>
      <c r="J235" s="1150"/>
      <c r="K235" s="1150"/>
      <c r="L235" s="1150"/>
      <c r="M235" s="1150"/>
      <c r="N235" s="920"/>
      <c r="O235" s="921"/>
    </row>
    <row r="236" spans="2:15" ht="19.5" customHeight="1">
      <c r="B236" s="1" t="s">
        <v>1787</v>
      </c>
      <c r="C236" s="1">
        <v>2</v>
      </c>
      <c r="D236" s="1575"/>
      <c r="E236" s="886"/>
      <c r="F236" s="922" t="str">
        <f>IF(F234=$S$15,$T$11,IF(ROUNDDOWN(F234,0)=$S$11,$U$11,$T$11))</f>
        <v>　レベル　2</v>
      </c>
      <c r="G236" s="1559" t="s">
        <v>276</v>
      </c>
      <c r="H236" s="1618"/>
      <c r="I236" s="1618"/>
      <c r="J236" s="1618"/>
      <c r="K236" s="1618"/>
      <c r="L236" s="1618"/>
      <c r="M236" s="1618"/>
      <c r="N236" s="927"/>
      <c r="O236" s="928"/>
    </row>
    <row r="237" spans="2:15" ht="19.5" customHeight="1">
      <c r="B237" s="1">
        <v>3</v>
      </c>
      <c r="C237" s="1">
        <v>3</v>
      </c>
      <c r="D237" s="1575"/>
      <c r="E237" s="886"/>
      <c r="F237" s="922" t="str">
        <f>IF(F234=$S$15,$T$12,IF(ROUNDDOWN(F234,0)=$S$12,$U$12,$T$12))</f>
        <v>■レベル　3</v>
      </c>
      <c r="G237" s="1559" t="s">
        <v>2507</v>
      </c>
      <c r="H237" s="1618"/>
      <c r="I237" s="1618"/>
      <c r="J237" s="1618"/>
      <c r="K237" s="1618"/>
      <c r="L237" s="1618"/>
      <c r="M237" s="1618"/>
      <c r="N237" s="927"/>
      <c r="O237" s="928"/>
    </row>
    <row r="238" spans="2:15" ht="19.5" customHeight="1">
      <c r="B238" s="1">
        <v>4</v>
      </c>
      <c r="C238" s="1">
        <v>4</v>
      </c>
      <c r="D238" s="1575"/>
      <c r="E238" s="886"/>
      <c r="F238" s="922" t="str">
        <f>IF(F234=$S$15,$T$13,IF(ROUNDDOWN(F234,0)=$S$13,$U$13,$T$13))</f>
        <v>　レベル　4</v>
      </c>
      <c r="G238" s="1559" t="s">
        <v>75</v>
      </c>
      <c r="H238" s="1618"/>
      <c r="I238" s="1618"/>
      <c r="J238" s="1618"/>
      <c r="K238" s="1618"/>
      <c r="L238" s="1618"/>
      <c r="M238" s="1618"/>
      <c r="N238" s="927"/>
      <c r="O238" s="928"/>
    </row>
    <row r="239" spans="2:15" ht="19.5" customHeight="1">
      <c r="B239" s="1">
        <v>5</v>
      </c>
      <c r="C239" s="1">
        <v>5</v>
      </c>
      <c r="D239" s="1575"/>
      <c r="E239" s="886"/>
      <c r="F239" s="933" t="str">
        <f>IF(F234=$S$15,$T$14,IF(ROUNDDOWN(F234,0)=$S$14,$U$14,$T$14))</f>
        <v>　レベル　5</v>
      </c>
      <c r="G239" s="1560" t="s">
        <v>3051</v>
      </c>
      <c r="H239" s="1619"/>
      <c r="I239" s="1619"/>
      <c r="J239" s="1619"/>
      <c r="K239" s="1619"/>
      <c r="L239" s="1619"/>
      <c r="M239" s="1619"/>
      <c r="N239" s="938"/>
      <c r="O239" s="939"/>
    </row>
    <row r="240" spans="2:15" s="2521" customFormat="1" ht="19.5" customHeight="1">
      <c r="B240" s="2511">
        <v>0</v>
      </c>
      <c r="C240" s="2511">
        <v>0</v>
      </c>
      <c r="D240" s="2522"/>
      <c r="F240" s="2598" t="s">
        <v>2535</v>
      </c>
    </row>
    <row r="241" spans="2:15" s="2521" customFormat="1" ht="16.5" customHeight="1" thickBot="1">
      <c r="B241" s="2522"/>
      <c r="C241" s="2522"/>
      <c r="D241" s="2522"/>
      <c r="F241" s="2599"/>
      <c r="G241" s="2600" t="s">
        <v>2899</v>
      </c>
      <c r="H241" s="2600"/>
      <c r="I241" s="2600"/>
      <c r="J241" s="2600"/>
      <c r="K241" s="2600"/>
      <c r="L241" s="2600"/>
      <c r="M241" s="2600"/>
      <c r="N241" s="2600"/>
      <c r="O241" s="2601"/>
    </row>
    <row r="242" spans="2:15" s="2521" customFormat="1" ht="30" customHeight="1" thickBot="1">
      <c r="B242" s="2522"/>
      <c r="C242" s="2522"/>
      <c r="D242" s="2522"/>
      <c r="F242" s="2520" t="s">
        <v>2195</v>
      </c>
      <c r="G242" s="3732" t="s">
        <v>2900</v>
      </c>
      <c r="H242" s="3733"/>
      <c r="I242" s="3733"/>
      <c r="J242" s="3733"/>
      <c r="K242" s="3733"/>
      <c r="L242" s="3733"/>
      <c r="M242" s="3733"/>
      <c r="N242" s="3733"/>
      <c r="O242" s="4183"/>
    </row>
    <row r="243" spans="2:15"/>
  </sheetData>
  <sheetProtection algorithmName="SHA-512" hashValue="BTdwkiUZL/B73VZcb3ibtheJEOao0xo1HggY+J13zb3TKF9bD49kA2Rkj3iuQM0BpamPBdWb/XfR0zaFHPeKdQ==" saltValue="NJp/ZEBAz1xNFuWdBXvznQ==" spinCount="100000" sheet="1" objects="1" scenarios="1" selectLockedCells="1"/>
  <mergeCells count="129">
    <mergeCell ref="G125:M125"/>
    <mergeCell ref="G127:M127"/>
    <mergeCell ref="G129:M129"/>
    <mergeCell ref="O56:O57"/>
    <mergeCell ref="O42:O43"/>
    <mergeCell ref="O44:O45"/>
    <mergeCell ref="O46:O47"/>
    <mergeCell ref="O48:O49"/>
    <mergeCell ref="G242:O242"/>
    <mergeCell ref="K54:N54"/>
    <mergeCell ref="O58:O59"/>
    <mergeCell ref="K58:N58"/>
    <mergeCell ref="G58:G59"/>
    <mergeCell ref="H58:H59"/>
    <mergeCell ref="G227:G229"/>
    <mergeCell ref="H227:N227"/>
    <mergeCell ref="N125:O129"/>
    <mergeCell ref="K115:N115"/>
    <mergeCell ref="H116:J117"/>
    <mergeCell ref="G92:G93"/>
    <mergeCell ref="H110:J110"/>
    <mergeCell ref="K110:N110"/>
    <mergeCell ref="G97:G98"/>
    <mergeCell ref="K97:N97"/>
    <mergeCell ref="O50:O51"/>
    <mergeCell ref="K45:N45"/>
    <mergeCell ref="K46:N46"/>
    <mergeCell ref="G52:G53"/>
    <mergeCell ref="G54:G55"/>
    <mergeCell ref="G56:G57"/>
    <mergeCell ref="K53:N53"/>
    <mergeCell ref="K47:N47"/>
    <mergeCell ref="K48:N48"/>
    <mergeCell ref="K49:N49"/>
    <mergeCell ref="K50:N50"/>
    <mergeCell ref="K55:N55"/>
    <mergeCell ref="K56:N56"/>
    <mergeCell ref="I54:J57"/>
    <mergeCell ref="K57:N57"/>
    <mergeCell ref="K51:N51"/>
    <mergeCell ref="K52:N52"/>
    <mergeCell ref="G25:O25"/>
    <mergeCell ref="G26:O26"/>
    <mergeCell ref="K39:N39"/>
    <mergeCell ref="H39:J39"/>
    <mergeCell ref="O40:O41"/>
    <mergeCell ref="O54:O55"/>
    <mergeCell ref="K40:N40"/>
    <mergeCell ref="G48:G49"/>
    <mergeCell ref="G50:G51"/>
    <mergeCell ref="I40:J41"/>
    <mergeCell ref="I42:J47"/>
    <mergeCell ref="I48:J49"/>
    <mergeCell ref="I50:J53"/>
    <mergeCell ref="G40:G41"/>
    <mergeCell ref="H40:H41"/>
    <mergeCell ref="G46:G47"/>
    <mergeCell ref="K41:N41"/>
    <mergeCell ref="O52:O53"/>
    <mergeCell ref="K42:N42"/>
    <mergeCell ref="K44:N44"/>
    <mergeCell ref="K43:N43"/>
    <mergeCell ref="G42:G43"/>
    <mergeCell ref="G44:G45"/>
    <mergeCell ref="H42:H57"/>
    <mergeCell ref="N170:O174"/>
    <mergeCell ref="N180:O184"/>
    <mergeCell ref="G181:M181"/>
    <mergeCell ref="K113:N113"/>
    <mergeCell ref="K114:N114"/>
    <mergeCell ref="N1:O1"/>
    <mergeCell ref="O227:O229"/>
    <mergeCell ref="H228:N228"/>
    <mergeCell ref="H229:N229"/>
    <mergeCell ref="G133:I133"/>
    <mergeCell ref="J133:L133"/>
    <mergeCell ref="G140:I140"/>
    <mergeCell ref="J140:L140"/>
    <mergeCell ref="N151:O155"/>
    <mergeCell ref="H196:J197"/>
    <mergeCell ref="F211:O211"/>
    <mergeCell ref="H223:N223"/>
    <mergeCell ref="K200:N200"/>
    <mergeCell ref="G224:G226"/>
    <mergeCell ref="H224:N224"/>
    <mergeCell ref="O224:O226"/>
    <mergeCell ref="H225:N225"/>
    <mergeCell ref="H226:N226"/>
    <mergeCell ref="G23:O23"/>
    <mergeCell ref="O97:O98"/>
    <mergeCell ref="O92:O93"/>
    <mergeCell ref="H94:J98"/>
    <mergeCell ref="K94:N94"/>
    <mergeCell ref="K95:N95"/>
    <mergeCell ref="K96:N96"/>
    <mergeCell ref="I58:J59"/>
    <mergeCell ref="H90:J90"/>
    <mergeCell ref="K92:N92"/>
    <mergeCell ref="H91:J93"/>
    <mergeCell ref="K90:N90"/>
    <mergeCell ref="K91:N91"/>
    <mergeCell ref="K59:N59"/>
    <mergeCell ref="K98:N98"/>
    <mergeCell ref="K93:N93"/>
    <mergeCell ref="G69:K69"/>
    <mergeCell ref="H111:J111"/>
    <mergeCell ref="K111:N111"/>
    <mergeCell ref="H112:J114"/>
    <mergeCell ref="K112:N112"/>
    <mergeCell ref="G198:G200"/>
    <mergeCell ref="H198:J200"/>
    <mergeCell ref="K116:N116"/>
    <mergeCell ref="K117:N117"/>
    <mergeCell ref="K196:N196"/>
    <mergeCell ref="K195:N195"/>
    <mergeCell ref="K197:N197"/>
    <mergeCell ref="G182:M182"/>
    <mergeCell ref="G183:M183"/>
    <mergeCell ref="G196:G197"/>
    <mergeCell ref="H195:J195"/>
    <mergeCell ref="K199:N199"/>
    <mergeCell ref="F156:N156"/>
    <mergeCell ref="G170:M170"/>
    <mergeCell ref="G172:M172"/>
    <mergeCell ref="K198:N198"/>
    <mergeCell ref="G184:M184"/>
    <mergeCell ref="F130:O130"/>
    <mergeCell ref="G159:I159"/>
    <mergeCell ref="J159:L159"/>
  </mergeCells>
  <phoneticPr fontId="21"/>
  <conditionalFormatting sqref="F188">
    <cfRule type="expression" dxfId="22" priority="5" stopIfTrue="1">
      <formula>AND(OR(F188&lt;1,F188&gt;5),F188&lt;&gt;0)</formula>
    </cfRule>
    <cfRule type="expression" dxfId="21" priority="6" stopIfTrue="1">
      <formula>J187&gt;0</formula>
    </cfRule>
  </conditionalFormatting>
  <conditionalFormatting sqref="G224:G229">
    <cfRule type="expression" dxfId="20" priority="7" stopIfTrue="1">
      <formula>$J$215&gt;0</formula>
    </cfRule>
  </conditionalFormatting>
  <conditionalFormatting sqref="G111:G117">
    <cfRule type="expression" dxfId="19" priority="8" stopIfTrue="1">
      <formula>$J$102&gt;0</formula>
    </cfRule>
  </conditionalFormatting>
  <conditionalFormatting sqref="G91:G92 G94:G97">
    <cfRule type="expression" dxfId="18" priority="9" stopIfTrue="1">
      <formula>$J$82&gt;0</formula>
    </cfRule>
  </conditionalFormatting>
  <conditionalFormatting sqref="K93:N93">
    <cfRule type="expression" dxfId="17" priority="10" stopIfTrue="1">
      <formula>AND($J$82&gt;0,$G$92=1)</formula>
    </cfRule>
  </conditionalFormatting>
  <conditionalFormatting sqref="K98:N98">
    <cfRule type="expression" dxfId="16" priority="11" stopIfTrue="1">
      <formula>AND($J$82&gt;0,$G$97=1)</formula>
    </cfRule>
  </conditionalFormatting>
  <conditionalFormatting sqref="G196:G200">
    <cfRule type="expression" dxfId="15" priority="12" stopIfTrue="1">
      <formula>$J$187&gt;0</formula>
    </cfRule>
  </conditionalFormatting>
  <conditionalFormatting sqref="G40:G59">
    <cfRule type="expression" dxfId="14" priority="13" stopIfTrue="1">
      <formula>$J$30&gt;0</formula>
    </cfRule>
  </conditionalFormatting>
  <conditionalFormatting sqref="F22 F65 F74 F124 F150 F169 F179 F205 F234">
    <cfRule type="expression" dxfId="13" priority="14" stopIfTrue="1">
      <formula>AND(OR(F22&lt;1,F22&gt;5),F22&lt;&gt;0)</formula>
    </cfRule>
    <cfRule type="expression" dxfId="12" priority="15" stopIfTrue="1">
      <formula>$J21&gt;0</formula>
    </cfRule>
  </conditionalFormatting>
  <conditionalFormatting sqref="F242">
    <cfRule type="expression" dxfId="11" priority="4" stopIfTrue="1">
      <formula>J233&gt;0</formula>
    </cfRule>
  </conditionalFormatting>
  <conditionalFormatting sqref="F37">
    <cfRule type="expression" dxfId="10" priority="2" stopIfTrue="1">
      <formula>AND(OR(F37&lt;1,F37&gt;5),F37&lt;&gt;0)</formula>
    </cfRule>
    <cfRule type="expression" dxfId="9" priority="3" stopIfTrue="1">
      <formula>AND(J30&gt;0,H37=$T$4)</formula>
    </cfRule>
  </conditionalFormatting>
  <conditionalFormatting sqref="H37">
    <cfRule type="expression" dxfId="8" priority="1">
      <formula>J30&gt;0</formula>
    </cfRule>
  </conditionalFormatting>
  <dataValidations xWindow="203" yWindow="331" count="9">
    <dataValidation type="list" allowBlank="1" showInputMessage="1" showErrorMessage="1" sqref="G227 G58:G59 G224 G196:G197 G40:G43" xr:uid="{00000000-0002-0000-0C00-000000000000}">
      <formula1>"0,1,2"</formula1>
    </dataValidation>
    <dataValidation type="list" allowBlank="1" showInputMessage="1" showErrorMessage="1" sqref="G91:G92 G116:G117 G94:G97 G111:G114" xr:uid="{00000000-0002-0000-0C00-000001000000}">
      <formula1>"0,1,対象外"</formula1>
    </dataValidation>
    <dataValidation type="list" allowBlank="1" showInputMessage="1" showErrorMessage="1" sqref="G115" xr:uid="{00000000-0002-0000-0C00-000002000000}">
      <formula1>"0,1,2,対象外"</formula1>
    </dataValidation>
    <dataValidation type="list" allowBlank="1" showInputMessage="1" showErrorMessage="1" sqref="G198:G200" xr:uid="{00000000-0002-0000-0C00-000003000000}">
      <formula1>"0,1,2,4"</formula1>
    </dataValidation>
    <dataValidation type="list" allowBlank="1" showInputMessage="1" showErrorMessage="1" sqref="G44:G57" xr:uid="{00000000-0002-0000-0C00-000004000000}">
      <formula1>"0,1,2,3"</formula1>
    </dataValidation>
    <dataValidation type="list" allowBlank="1" showInputMessage="1" sqref="F22 F65 F74 F124 F150 F169 F179 F205 F234" xr:uid="{00000000-0002-0000-0C00-000005000000}">
      <formula1>$B23:$B28</formula1>
    </dataValidation>
    <dataValidation type="list" allowBlank="1" showInputMessage="1" showErrorMessage="1" sqref="F242 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xr:uid="{00000000-0002-0000-0C00-000006000000}">
      <formula1>"○,　"</formula1>
    </dataValidation>
    <dataValidation type="list" allowBlank="1" showInputMessage="1" sqref="F37" xr:uid="{00000000-0002-0000-0C00-000007000000}">
      <formula1>$B32:$B37</formula1>
    </dataValidation>
    <dataValidation type="list" allowBlank="1" showInputMessage="1" showErrorMessage="1" sqref="H37" xr:uid="{00000000-0002-0000-0C00-000008000000}">
      <formula1>$T$3:$T$4</formula1>
    </dataValidation>
  </dataValidations>
  <printOptions horizontalCentered="1"/>
  <pageMargins left="0.59055118110236227" right="0.59055118110236227" top="0.78740157480314965" bottom="0.59055118110236227" header="0.51181102362204722" footer="0.51181102362204722"/>
  <pageSetup paperSize="9" scale="65" fitToHeight="7" orientation="portrait" verticalDpi="4294967293" r:id="rId1"/>
  <headerFooter alignWithMargins="0">
    <oddHeader>&amp;L&amp;F&amp;R&amp;A</oddHeader>
    <oddFooter>&amp;C&amp;P/&amp;N</oddFooter>
  </headerFooter>
  <rowBreaks count="4" manualBreakCount="4">
    <brk id="28" max="16383" man="1"/>
    <brk id="61" max="16383" man="1"/>
    <brk id="119" max="16383" man="1"/>
    <brk id="175" min="3" max="1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AA137"/>
  <sheetViews>
    <sheetView showGridLines="0" topLeftCell="A112" workbookViewId="0">
      <selection activeCell="F24" sqref="F24"/>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1.875" customWidth="1"/>
    <col min="17" max="17" width="6" hidden="1" customWidth="1"/>
    <col min="18" max="18" width="15.5" hidden="1" customWidth="1"/>
    <col min="19" max="19" width="5.25" hidden="1" customWidth="1"/>
    <col min="20" max="20" width="6.375" hidden="1" customWidth="1"/>
    <col min="21" max="21" width="15.5" hidden="1" customWidth="1"/>
    <col min="22" max="22" width="5" hidden="1" customWidth="1"/>
    <col min="23" max="23" width="6.125" hidden="1" customWidth="1"/>
    <col min="24" max="24" width="8" hidden="1" customWidth="1"/>
    <col min="25" max="25" width="6.375" hidden="1" customWidth="1"/>
    <col min="26" max="26" width="5" hidden="1" customWidth="1"/>
    <col min="27" max="27" width="0" hidden="1" customWidth="1"/>
    <col min="28" max="16384" width="9" hidden="1"/>
  </cols>
  <sheetData>
    <row r="1" spans="1:27" ht="14.25" thickBot="1">
      <c r="A1" s="141"/>
    </row>
    <row r="2" spans="1:27" ht="14.25">
      <c r="B2" s="4195" t="str">
        <f>メイン!C6</f>
        <v>CASBEE-京都-建築(新築)2018年版</v>
      </c>
      <c r="C2" s="4196"/>
      <c r="D2" s="4196"/>
      <c r="E2" s="4197"/>
      <c r="F2" s="2316"/>
      <c r="G2" s="2316"/>
      <c r="H2" s="2316"/>
      <c r="I2" s="2316"/>
      <c r="J2" s="2316"/>
      <c r="K2" s="2316"/>
      <c r="L2" s="4189" t="s">
        <v>1770</v>
      </c>
      <c r="M2" s="4189"/>
      <c r="N2" s="4190" t="str">
        <f>メイン!C6</f>
        <v>CASBEE-京都-建築(新築)2018年版</v>
      </c>
      <c r="O2" s="4190"/>
    </row>
    <row r="3" spans="1:27" ht="14.25" thickBot="1">
      <c r="B3" s="4192" t="str">
        <f>メイン!C11</f>
        <v>○○ビル</v>
      </c>
      <c r="C3" s="4193"/>
      <c r="D3" s="4193"/>
      <c r="E3" s="4194"/>
      <c r="F3" s="2316"/>
      <c r="G3" s="2316"/>
      <c r="H3" s="2316"/>
      <c r="I3" s="2316"/>
      <c r="J3" s="2316"/>
      <c r="K3" s="2316"/>
      <c r="L3" s="4189" t="s">
        <v>2123</v>
      </c>
      <c r="M3" s="4191"/>
      <c r="N3" s="4190" t="str">
        <f>メイン!C5</f>
        <v>CASBEE京都-新築2018（v.1.0）</v>
      </c>
      <c r="O3" s="4190"/>
    </row>
    <row r="4" spans="1:27" ht="6.75" customHeight="1" thickBot="1">
      <c r="B4" s="2316"/>
      <c r="C4" s="2316"/>
      <c r="D4" s="2316"/>
      <c r="E4" s="2316"/>
      <c r="F4" s="2316"/>
      <c r="G4" s="2316"/>
      <c r="H4" s="2316"/>
      <c r="I4" s="2316"/>
      <c r="J4" s="2316"/>
      <c r="K4" s="2316"/>
      <c r="L4" s="2316"/>
      <c r="M4" s="2316"/>
      <c r="N4" s="2316"/>
      <c r="O4" s="2316"/>
    </row>
    <row r="5" spans="1:27" ht="18.75">
      <c r="B5" s="815" t="s">
        <v>1972</v>
      </c>
      <c r="C5" s="816"/>
      <c r="D5" s="817"/>
      <c r="E5" s="818"/>
      <c r="F5" s="819"/>
      <c r="G5" s="819"/>
      <c r="H5" s="819"/>
      <c r="I5" s="819"/>
      <c r="J5" s="819"/>
      <c r="K5" s="816"/>
      <c r="L5" s="820"/>
      <c r="M5" s="821"/>
      <c r="N5" s="822"/>
      <c r="O5" s="823"/>
    </row>
    <row r="6" spans="1:27" ht="14.25">
      <c r="B6" s="824"/>
      <c r="C6" s="825"/>
      <c r="D6" s="826"/>
      <c r="E6" s="827"/>
      <c r="F6" s="828"/>
      <c r="G6" s="828"/>
      <c r="H6" s="828"/>
      <c r="I6" s="828"/>
      <c r="J6" s="828"/>
      <c r="K6" s="825"/>
      <c r="L6" s="2154" t="s">
        <v>1973</v>
      </c>
      <c r="M6" s="830"/>
      <c r="N6" s="831"/>
      <c r="O6" s="2315" t="s">
        <v>1974</v>
      </c>
      <c r="R6" t="s">
        <v>608</v>
      </c>
      <c r="S6" t="s">
        <v>607</v>
      </c>
      <c r="T6" t="s">
        <v>609</v>
      </c>
      <c r="U6" t="s">
        <v>610</v>
      </c>
    </row>
    <row r="7" spans="1:27" s="2280" customFormat="1" ht="16.5">
      <c r="B7" s="832" t="s">
        <v>1594</v>
      </c>
      <c r="C7" s="825"/>
      <c r="D7" s="826"/>
      <c r="E7" s="827"/>
      <c r="F7" s="828"/>
      <c r="G7" s="828"/>
      <c r="H7" s="828"/>
      <c r="I7" s="828"/>
      <c r="J7" s="828"/>
      <c r="K7" s="825"/>
      <c r="L7" s="833"/>
      <c r="M7" s="830"/>
      <c r="N7" s="831"/>
      <c r="O7" s="835"/>
      <c r="R7" s="2445" t="s">
        <v>3816</v>
      </c>
      <c r="S7" s="2445"/>
      <c r="T7" s="2445" t="s">
        <v>374</v>
      </c>
      <c r="U7" s="3021">
        <f>SUM(S8:S20)+U21+S22+S23+S25</f>
        <v>20320</v>
      </c>
    </row>
    <row r="8" spans="1:27" ht="14.25">
      <c r="B8" s="2095"/>
      <c r="C8" s="836" t="s">
        <v>1596</v>
      </c>
      <c r="D8" s="837"/>
      <c r="E8" s="827"/>
      <c r="F8" s="828"/>
      <c r="G8" s="828"/>
      <c r="H8" s="833"/>
      <c r="I8" s="834"/>
      <c r="J8" s="833" t="s">
        <v>1595</v>
      </c>
      <c r="K8" s="834"/>
      <c r="L8" s="833" t="s">
        <v>1595</v>
      </c>
      <c r="M8" s="834"/>
      <c r="N8" s="834"/>
      <c r="O8" s="835" t="s">
        <v>1595</v>
      </c>
      <c r="R8" s="1" t="str">
        <f>メイン!B47</f>
        <v xml:space="preserve"> 事務所</v>
      </c>
      <c r="S8" s="3022">
        <f>メイン!C47</f>
        <v>20000</v>
      </c>
      <c r="T8" s="2445"/>
      <c r="U8" s="2445"/>
    </row>
    <row r="9" spans="1:27">
      <c r="B9" s="2095"/>
      <c r="C9" s="843"/>
      <c r="D9" s="843" t="s">
        <v>261</v>
      </c>
      <c r="E9" s="841"/>
      <c r="F9" s="2317" t="s">
        <v>1337</v>
      </c>
      <c r="G9" s="841"/>
      <c r="H9" s="838" t="s">
        <v>1338</v>
      </c>
      <c r="I9" s="838" t="s">
        <v>1339</v>
      </c>
      <c r="J9" s="838" t="s">
        <v>1340</v>
      </c>
      <c r="K9" s="839" t="s">
        <v>259</v>
      </c>
      <c r="L9" s="840" t="s">
        <v>260</v>
      </c>
      <c r="M9" s="841"/>
      <c r="N9" s="839" t="s">
        <v>259</v>
      </c>
      <c r="O9" s="842" t="s">
        <v>260</v>
      </c>
      <c r="R9" s="1">
        <f>メイン!B48</f>
        <v>0</v>
      </c>
      <c r="S9" s="3022">
        <f>メイン!C48</f>
        <v>0</v>
      </c>
      <c r="T9" s="2445"/>
      <c r="U9" s="2445"/>
    </row>
    <row r="10" spans="1:27">
      <c r="B10" s="2099"/>
      <c r="C10" s="843"/>
      <c r="D10" s="843"/>
      <c r="E10" s="843" t="s">
        <v>356</v>
      </c>
      <c r="F10" s="2318">
        <f>IF($U$7=0,0,S8/$U$7)</f>
        <v>0.98425196850393704</v>
      </c>
      <c r="G10" s="841"/>
      <c r="H10" s="2318">
        <f>IF(OR($F$20=$R$6,$F$20=$U$6),CO2データ!I12,IF($F$20=$S$6,CO2データ!L12,CO2データ!O12))</f>
        <v>13.23</v>
      </c>
      <c r="I10" s="2318">
        <f>IF(OR($F$20=$R$6,$F$20=$U$6),CO2データ!J12,IF($F$20=$S$6,CO2データ!M12,CO2データ!P12))</f>
        <v>13.23</v>
      </c>
      <c r="J10" s="2319">
        <f>IF(OR($F$20=$R$6,$F$20=$U$6),CO2データ!K12,IF($F$20=$S$6,CO2データ!N12,CO2データ!Q12))</f>
        <v>13.23</v>
      </c>
      <c r="K10" s="2110">
        <f>スコア!Q83</f>
        <v>3</v>
      </c>
      <c r="L10" s="2320">
        <f t="shared" ref="L10:L18" si="0">IF(K10&gt;=5,$J10,IF(K10&gt;=4,$I10,$H10))</f>
        <v>13.23</v>
      </c>
      <c r="M10" s="841"/>
      <c r="N10" s="2110">
        <v>3</v>
      </c>
      <c r="O10" s="2321">
        <f>IF(OR($F$20=$R$6,$F$20=$U$6),CO2データ!I7,IF($F$20=$S$6,CO2データ!L7,CO2データ!O7))</f>
        <v>13.23</v>
      </c>
      <c r="R10" s="1" t="str">
        <f>メイン!B49</f>
        <v xml:space="preserve"> 学校</v>
      </c>
      <c r="S10" s="3022">
        <f>メイン!C49</f>
        <v>0</v>
      </c>
      <c r="T10" s="2445"/>
      <c r="U10" s="2445"/>
    </row>
    <row r="11" spans="1:27">
      <c r="B11" s="2099"/>
      <c r="C11" s="843"/>
      <c r="D11" s="2322"/>
      <c r="E11" s="843" t="s">
        <v>1462</v>
      </c>
      <c r="F11" s="2318">
        <f>IF($U$7=0,0,S10/$U$7)</f>
        <v>0</v>
      </c>
      <c r="G11" s="841"/>
      <c r="H11" s="2318">
        <f>IF(OR($F$20=$R$6,$F$20=$U$6),CO2データ!I18,IF($F$20=$S$6,CO2データ!L18,CO2データ!O18))</f>
        <v>11.762999999999998</v>
      </c>
      <c r="I11" s="2318">
        <f>IF(OR($F$20=$R$6,$F$20=$U$6),CO2データ!J18,IF($F$20=$S$6,CO2データ!M18,CO2データ!P18))</f>
        <v>11.762999999999998</v>
      </c>
      <c r="J11" s="2319">
        <f>IF(OR($F$20=$R$6,$F$20=$U$6),CO2データ!K18,IF($F$20=$S$6,CO2データ!N18,CO2データ!Q18))</f>
        <v>11.762999999999998</v>
      </c>
      <c r="K11" s="2110">
        <f t="shared" ref="K11:K18" si="1">K$10</f>
        <v>3</v>
      </c>
      <c r="L11" s="2320">
        <f t="shared" si="0"/>
        <v>11.762999999999998</v>
      </c>
      <c r="M11" s="841"/>
      <c r="N11" s="2110">
        <f t="shared" ref="N11:N18" si="2">N$10</f>
        <v>3</v>
      </c>
      <c r="O11" s="2321">
        <f>IF(OR($F$20=$R$6,$F$20=$U$6),CO2データ!I13,IF($F$20=$S$6,CO2データ!L13,CO2データ!O13))</f>
        <v>11.762999999999998</v>
      </c>
      <c r="R11" s="1">
        <f>メイン!B50</f>
        <v>0</v>
      </c>
      <c r="S11" s="3022">
        <f>メイン!C50</f>
        <v>0</v>
      </c>
      <c r="T11" s="2445"/>
      <c r="U11" s="2445"/>
      <c r="AA11" t="str">
        <f>重み!AB6</f>
        <v>学校</v>
      </c>
    </row>
    <row r="12" spans="1:27">
      <c r="B12" s="2099"/>
      <c r="C12" s="843"/>
      <c r="D12" s="843"/>
      <c r="E12" s="843" t="s">
        <v>360</v>
      </c>
      <c r="F12" s="2318">
        <f>IF($U$7=0,0,S15/$U$7)</f>
        <v>0</v>
      </c>
      <c r="G12" s="841"/>
      <c r="H12" s="2318">
        <f>IF(OR($F$20=$R$6,$F$20=$U$6),CO2データ!I24,IF($F$20=$S$6,CO2データ!L24,CO2データ!O24))</f>
        <v>22.385999999999999</v>
      </c>
      <c r="I12" s="2318">
        <f>IF(OR($F$20=$R$6,$F$20=$U$6),CO2データ!J24,IF($F$20=$S$6,CO2データ!M24,CO2データ!P24))</f>
        <v>22.385999999999999</v>
      </c>
      <c r="J12" s="2319">
        <f>IF(OR($F$20=$R$6,$F$20=$U$6),CO2データ!K24,IF($F$20=$S$6,CO2データ!N24,CO2データ!Q24))</f>
        <v>22.385999999999999</v>
      </c>
      <c r="K12" s="2110">
        <f t="shared" si="1"/>
        <v>3</v>
      </c>
      <c r="L12" s="2320">
        <f t="shared" si="0"/>
        <v>22.385999999999999</v>
      </c>
      <c r="M12" s="841"/>
      <c r="N12" s="2110">
        <f t="shared" si="2"/>
        <v>3</v>
      </c>
      <c r="O12" s="2321">
        <f>IF(OR($F$20=$R$6,$F$20=$U$6),CO2データ!I19,IF($F$20=$S$6,CO2データ!L19,CO2データ!O19))</f>
        <v>22.385999999999999</v>
      </c>
      <c r="R12" s="1">
        <f>メイン!B51</f>
        <v>0</v>
      </c>
      <c r="S12" s="3022">
        <f>メイン!C51</f>
        <v>0</v>
      </c>
      <c r="T12" s="2445"/>
      <c r="U12" s="2445"/>
      <c r="AA12">
        <f>重み!AB7</f>
        <v>0</v>
      </c>
    </row>
    <row r="13" spans="1:27">
      <c r="B13" s="2099"/>
      <c r="C13" s="843"/>
      <c r="D13" s="843"/>
      <c r="E13" s="843" t="s">
        <v>362</v>
      </c>
      <c r="F13" s="2318">
        <f>IF($U$7=0,0,S17/$U$7)</f>
        <v>0</v>
      </c>
      <c r="G13" s="841"/>
      <c r="H13" s="2318">
        <f>IF(OR($F$20=$R$6,$F$20=$U$6),CO2データ!I30,IF($F$20=$S$6,CO2データ!L30,CO2データ!O30))</f>
        <v>22.385999999999999</v>
      </c>
      <c r="I13" s="2318">
        <f>IF(OR($F$20=$R$6,$F$20=$U$6),CO2データ!J30,IF($F$20=$S$6,CO2データ!M30,CO2データ!P30))</f>
        <v>22.385999999999999</v>
      </c>
      <c r="J13" s="2319">
        <f>IF(OR($F$20=$R$6,$F$20=$U$6),CO2データ!K30,IF($F$20=$S$6,CO2データ!N30,CO2データ!Q30))</f>
        <v>22.385999999999999</v>
      </c>
      <c r="K13" s="2110">
        <f t="shared" si="1"/>
        <v>3</v>
      </c>
      <c r="L13" s="2320">
        <f t="shared" si="0"/>
        <v>22.385999999999999</v>
      </c>
      <c r="M13" s="841"/>
      <c r="N13" s="2110">
        <f t="shared" si="2"/>
        <v>3</v>
      </c>
      <c r="O13" s="2321">
        <f>IF(OR($F$20=$R$6,$F$20=$U$6),CO2データ!I25,IF($F$20=$S$6,CO2データ!L25,CO2データ!O25))</f>
        <v>22.385999999999999</v>
      </c>
      <c r="R13" s="1">
        <f>メイン!B52</f>
        <v>0</v>
      </c>
      <c r="S13" s="3022">
        <f>メイン!C52</f>
        <v>0</v>
      </c>
      <c r="T13" s="2445"/>
      <c r="U13" s="2445"/>
    </row>
    <row r="14" spans="1:27">
      <c r="B14" s="2099"/>
      <c r="C14" s="843"/>
      <c r="D14" s="843"/>
      <c r="E14" s="2101" t="s">
        <v>1617</v>
      </c>
      <c r="F14" s="2318">
        <f>IF($U$7=0,0,S18/$U$7)</f>
        <v>0</v>
      </c>
      <c r="G14" s="841"/>
      <c r="H14" s="2318">
        <f>IF(OR($F$20=$R$6,$F$20=$U$6),CO2データ!I36,IF($F$20=$S$6,CO2データ!L36,CO2データ!O36))</f>
        <v>12.471</v>
      </c>
      <c r="I14" s="2318">
        <f>IF(OR($F$20=$R$6,$F$20=$U$6),CO2データ!J36,IF($F$20=$S$6,CO2データ!M36,CO2データ!P36))</f>
        <v>12.471</v>
      </c>
      <c r="J14" s="2319">
        <f>IF(OR($F$20=$R$6,$F$20=$U$6),CO2データ!K36,IF($F$20=$S$6,CO2データ!N36,CO2データ!Q36))</f>
        <v>12.471</v>
      </c>
      <c r="K14" s="2110">
        <f t="shared" si="1"/>
        <v>3</v>
      </c>
      <c r="L14" s="2320">
        <f t="shared" si="0"/>
        <v>12.471</v>
      </c>
      <c r="M14" s="841"/>
      <c r="N14" s="2110">
        <f t="shared" si="2"/>
        <v>3</v>
      </c>
      <c r="O14" s="2321">
        <f>IF(OR($F$20=$R$6,$F$20=$U$6),CO2データ!I31,IF($F$20=$S$6,CO2データ!L31,CO2データ!O31))</f>
        <v>12.471</v>
      </c>
      <c r="R14" s="1">
        <f>メイン!B53</f>
        <v>0</v>
      </c>
      <c r="S14" s="3022">
        <f>メイン!C53</f>
        <v>0</v>
      </c>
      <c r="T14" s="2445"/>
      <c r="U14" s="2445"/>
    </row>
    <row r="15" spans="1:27">
      <c r="B15" s="2099"/>
      <c r="C15" s="843"/>
      <c r="D15" s="843"/>
      <c r="E15" s="2101" t="s">
        <v>372</v>
      </c>
      <c r="F15" s="2318">
        <f>IF($U$7=0,0,U21/$U$7)</f>
        <v>0</v>
      </c>
      <c r="G15" s="841"/>
      <c r="H15" s="2318">
        <f>IF(OR($F$20=$R$6,$F$20=$U$6),CO2データ!I42,IF($F$20=$S$6,CO2データ!L42,CO2データ!O42))</f>
        <v>22.5</v>
      </c>
      <c r="I15" s="2318">
        <f>IF(OR($F$20=$R$6,$F$20=$U$6),CO2データ!J42,IF($F$20=$S$6,CO2データ!M42,CO2データ!P42))</f>
        <v>22.5</v>
      </c>
      <c r="J15" s="2319">
        <f>IF(OR($F$20=$R$6,$F$20=$U$6),CO2データ!K42,IF($F$20=$S$6,CO2データ!N42,CO2データ!Q42))</f>
        <v>22.5</v>
      </c>
      <c r="K15" s="2110">
        <f t="shared" si="1"/>
        <v>3</v>
      </c>
      <c r="L15" s="2320">
        <f t="shared" si="0"/>
        <v>22.5</v>
      </c>
      <c r="M15" s="841"/>
      <c r="N15" s="2110">
        <f t="shared" si="2"/>
        <v>3</v>
      </c>
      <c r="O15" s="2321">
        <f>IF(OR($F$20=$R$6,$F$20=$U$6),CO2データ!I37,IF($F$20=$S$6,CO2データ!L37,CO2データ!O37))</f>
        <v>22.5</v>
      </c>
      <c r="R15" s="1" t="str">
        <f>メイン!B54</f>
        <v xml:space="preserve"> 物販店</v>
      </c>
      <c r="S15" s="3022">
        <f>メイン!C54</f>
        <v>0</v>
      </c>
      <c r="T15" s="2445"/>
      <c r="U15" s="2445"/>
    </row>
    <row r="16" spans="1:27">
      <c r="B16" s="2099"/>
      <c r="C16" s="843"/>
      <c r="D16" s="843"/>
      <c r="E16" s="2101" t="s">
        <v>366</v>
      </c>
      <c r="F16" s="2318">
        <f>IF($U$7=0,0,S22/$U$7)</f>
        <v>0</v>
      </c>
      <c r="G16" s="841"/>
      <c r="H16" s="2318">
        <f>IF(OR($F$20=$R$6,$F$20=$U$6),CO2データ!I48,IF($F$20=$S$6,CO2データ!L48,CO2データ!O48))</f>
        <v>12.261000000000001</v>
      </c>
      <c r="I16" s="2318">
        <f>IF(OR($F$20=$R$6,$F$20=$U$6),CO2データ!J48,IF($F$20=$S$6,CO2データ!M48,CO2データ!P48))</f>
        <v>12.261000000000001</v>
      </c>
      <c r="J16" s="2319">
        <f>IF(OR($F$20=$R$6,$F$20=$U$6),CO2データ!K48,IF($F$20=$S$6,CO2データ!N48,CO2データ!Q48))</f>
        <v>12.261000000000001</v>
      </c>
      <c r="K16" s="2110">
        <f t="shared" si="1"/>
        <v>3</v>
      </c>
      <c r="L16" s="2320">
        <f t="shared" si="0"/>
        <v>12.261000000000001</v>
      </c>
      <c r="M16" s="841"/>
      <c r="N16" s="2110">
        <f t="shared" si="2"/>
        <v>3</v>
      </c>
      <c r="O16" s="2321">
        <f>IF(OR($F$20=$R$6,$F$20=$U$6),CO2データ!I43,IF($F$20=$S$6,CO2データ!L43,CO2データ!O43))</f>
        <v>12.261000000000001</v>
      </c>
      <c r="R16" s="1">
        <f>メイン!B55</f>
        <v>0</v>
      </c>
      <c r="S16" s="3022">
        <f>メイン!C55</f>
        <v>0</v>
      </c>
      <c r="T16" s="2445"/>
      <c r="U16" s="2445"/>
    </row>
    <row r="17" spans="2:21">
      <c r="B17" s="2099"/>
      <c r="C17" s="843"/>
      <c r="D17" s="843"/>
      <c r="E17" s="2101" t="s">
        <v>262</v>
      </c>
      <c r="F17" s="2318">
        <f>IF($U$7=0,0,S23/$U$7)</f>
        <v>0</v>
      </c>
      <c r="G17" s="841"/>
      <c r="H17" s="2318">
        <f>IF(OR($F$20=$R$6,$F$20=$U$6),CO2データ!I54,IF($F$20=$S$6,CO2データ!L54,CO2データ!O54))</f>
        <v>12.770000000000001</v>
      </c>
      <c r="I17" s="2318">
        <f>IF(OR($F$20=$R$6,$F$20=$U$6),CO2データ!J54,IF($F$20=$S$6,CO2データ!M54,CO2データ!P54))</f>
        <v>12.770000000000001</v>
      </c>
      <c r="J17" s="2319">
        <f>IF(OR($F$20=$R$6,$F$20=$U$6),CO2データ!K54,IF($F$20=$S$6,CO2データ!N54,CO2データ!Q54))</f>
        <v>12.770000000000001</v>
      </c>
      <c r="K17" s="2110">
        <f t="shared" si="1"/>
        <v>3</v>
      </c>
      <c r="L17" s="2320">
        <f t="shared" si="0"/>
        <v>12.770000000000001</v>
      </c>
      <c r="M17" s="841"/>
      <c r="N17" s="2110">
        <f t="shared" si="2"/>
        <v>3</v>
      </c>
      <c r="O17" s="2321">
        <f>IF(OR($F$20=$R$6,$F$20=$U$6),CO2データ!I49,IF($F$20=$S$6,CO2データ!L49,CO2データ!O49))</f>
        <v>12.770000000000001</v>
      </c>
      <c r="R17" s="1" t="str">
        <f>メイン!B56</f>
        <v xml:space="preserve"> 飲食店</v>
      </c>
      <c r="S17" s="3022">
        <f>メイン!C56</f>
        <v>0</v>
      </c>
      <c r="T17" s="2445"/>
      <c r="U17" s="2445"/>
    </row>
    <row r="18" spans="2:21">
      <c r="B18" s="2099"/>
      <c r="C18" s="843"/>
      <c r="D18" s="843"/>
      <c r="E18" s="2101" t="s">
        <v>1597</v>
      </c>
      <c r="F18" s="2318">
        <f>IF($U$7=0,0,S25/$U$7)</f>
        <v>1.5748031496062992E-2</v>
      </c>
      <c r="G18" s="841"/>
      <c r="H18" s="2318">
        <f>IF(OR($F$20=$R$6,$F$20=$U$6),CO2データ!I60,IF($F$20=$S$6,CO2データ!L60,CO2データ!O60))</f>
        <v>19.619999999999997</v>
      </c>
      <c r="I18" s="2318">
        <f>IF(OR($F$20=$R$6,$F$20=$U$6),CO2データ!J60,IF($F$20=$S$6,CO2データ!M60,CO2データ!P60))</f>
        <v>9.8079999999999998</v>
      </c>
      <c r="J18" s="2319">
        <f>IF(OR($F$20=$R$6,$F$20=$U$6),CO2データ!K60,IF($F$20=$S$6,CO2データ!N60,CO2データ!Q60))</f>
        <v>6.5390000000000006</v>
      </c>
      <c r="K18" s="2110">
        <f t="shared" si="1"/>
        <v>3</v>
      </c>
      <c r="L18" s="2320">
        <f t="shared" si="0"/>
        <v>19.619999999999997</v>
      </c>
      <c r="M18" s="841"/>
      <c r="N18" s="2110">
        <f t="shared" si="2"/>
        <v>3</v>
      </c>
      <c r="O18" s="2321">
        <f>IF(OR($F$20=$R$6,$F$20=$U$6),CO2データ!I55,IF($F$20=$S$6,CO2データ!L55,CO2データ!O55))</f>
        <v>19.619999999999997</v>
      </c>
      <c r="R18" s="1" t="str">
        <f>メイン!B57</f>
        <v xml:space="preserve"> 集会所</v>
      </c>
      <c r="S18" s="3022">
        <f>メイン!C57</f>
        <v>0</v>
      </c>
      <c r="T18" s="2445"/>
      <c r="U18" s="2445"/>
    </row>
    <row r="19" spans="2:21">
      <c r="B19" s="2099"/>
      <c r="C19" s="843"/>
      <c r="D19" s="843"/>
      <c r="E19" s="843"/>
      <c r="F19" s="843"/>
      <c r="G19" s="843"/>
      <c r="H19" s="843"/>
      <c r="I19" s="2323"/>
      <c r="J19" s="2323"/>
      <c r="K19" s="2324"/>
      <c r="L19" s="2325"/>
      <c r="M19" s="841"/>
      <c r="N19" s="2324"/>
      <c r="O19" s="2326"/>
      <c r="R19" s="1">
        <f>メイン!B58</f>
        <v>0</v>
      </c>
      <c r="S19" s="3022">
        <f>メイン!C58</f>
        <v>0</v>
      </c>
      <c r="T19" s="2445"/>
      <c r="U19" s="2445"/>
    </row>
    <row r="20" spans="2:21">
      <c r="B20" s="2099"/>
      <c r="C20" s="841"/>
      <c r="D20" s="841" t="s">
        <v>263</v>
      </c>
      <c r="E20" s="841"/>
      <c r="F20" s="2327" t="str">
        <f>メイン!C23</f>
        <v>RC造</v>
      </c>
      <c r="G20" s="841"/>
      <c r="H20" s="2328"/>
      <c r="I20" s="2328"/>
      <c r="J20" s="2328"/>
      <c r="K20" s="2329"/>
      <c r="L20" s="841"/>
      <c r="M20" s="841"/>
      <c r="N20" s="2329"/>
      <c r="O20" s="2330"/>
      <c r="R20" s="1">
        <f>メイン!B59</f>
        <v>0</v>
      </c>
      <c r="S20" s="3022">
        <f>メイン!C59</f>
        <v>0</v>
      </c>
      <c r="T20" s="2445"/>
      <c r="U20" s="2445"/>
    </row>
    <row r="21" spans="2:21">
      <c r="B21" s="2331"/>
      <c r="C21" s="2096"/>
      <c r="D21" s="2096" t="s">
        <v>264</v>
      </c>
      <c r="E21" s="2096"/>
      <c r="F21" s="2332">
        <f>'条件(標準)'!E31</f>
        <v>0</v>
      </c>
      <c r="G21" s="2096"/>
      <c r="H21" s="2096"/>
      <c r="I21" s="2096"/>
      <c r="J21" s="2096"/>
      <c r="K21" s="2096"/>
      <c r="L21" s="2096"/>
      <c r="M21" s="2096"/>
      <c r="N21" s="2333">
        <v>0</v>
      </c>
      <c r="O21" s="2230"/>
      <c r="R21" s="1" t="str">
        <f>メイン!B60</f>
        <v xml:space="preserve"> 工場</v>
      </c>
      <c r="S21" s="3022">
        <f>メイン!C60</f>
        <v>0</v>
      </c>
      <c r="T21" s="3022" t="str">
        <f>メイン!D60</f>
        <v>㎡ 　うち省エネ計画対象面積</v>
      </c>
      <c r="U21" s="3022">
        <f>メイン!E60</f>
        <v>0</v>
      </c>
    </row>
    <row r="22" spans="2:21">
      <c r="B22" s="2331"/>
      <c r="C22" s="2096"/>
      <c r="D22" s="2096" t="s">
        <v>1975</v>
      </c>
      <c r="E22" s="2096"/>
      <c r="F22" s="2332">
        <f>'条件(標準)'!E30</f>
        <v>0</v>
      </c>
      <c r="G22" s="2096"/>
      <c r="H22" s="2096"/>
      <c r="I22" s="2096"/>
      <c r="J22" s="2096"/>
      <c r="K22" s="2096"/>
      <c r="L22" s="2096"/>
      <c r="M22" s="2096"/>
      <c r="N22" s="2333">
        <v>0</v>
      </c>
      <c r="O22" s="2230"/>
      <c r="R22" s="1" t="str">
        <f>メイン!B61</f>
        <v xml:space="preserve"> 病院</v>
      </c>
      <c r="S22" s="3022">
        <f>メイン!C61</f>
        <v>0</v>
      </c>
      <c r="T22" s="2445"/>
      <c r="U22" s="2445"/>
    </row>
    <row r="23" spans="2:21" ht="5.25" customHeight="1" thickBot="1">
      <c r="B23" s="2331"/>
      <c r="C23" s="2096"/>
      <c r="D23" s="2096"/>
      <c r="E23" s="2096"/>
      <c r="F23" s="2096"/>
      <c r="G23" s="2096"/>
      <c r="H23" s="2096"/>
      <c r="I23" s="2096"/>
      <c r="J23" s="2096"/>
      <c r="K23" s="2096"/>
      <c r="L23" s="2096"/>
      <c r="M23" s="2096"/>
      <c r="N23" s="2096"/>
      <c r="O23" s="2230"/>
      <c r="R23" s="1" t="str">
        <f>メイン!B62</f>
        <v xml:space="preserve"> ホテル</v>
      </c>
      <c r="S23" s="3022">
        <f>メイン!C62</f>
        <v>0</v>
      </c>
      <c r="T23" s="2445"/>
      <c r="U23" s="2445"/>
    </row>
    <row r="24" spans="2:21" ht="14.25" thickBot="1">
      <c r="B24" s="2331"/>
      <c r="C24" s="836" t="s">
        <v>1976</v>
      </c>
      <c r="D24" s="843"/>
      <c r="E24" s="841"/>
      <c r="F24" s="2096"/>
      <c r="G24" s="2096"/>
      <c r="H24" s="2096"/>
      <c r="I24" s="2096"/>
      <c r="J24" s="2096"/>
      <c r="K24" s="2096"/>
      <c r="L24" s="2334">
        <f>SUMPRODUCT(F10:F18,L10:L18)</f>
        <v>13.330629921259844</v>
      </c>
      <c r="M24" s="2096"/>
      <c r="N24" s="2096"/>
      <c r="O24" s="2334">
        <f>SUMPRODUCT(F10:F18,O10:O18)</f>
        <v>13.330629921259844</v>
      </c>
      <c r="R24" s="1" t="str">
        <f>メイン!B63</f>
        <v xml:space="preserve"> 非住宅　小計</v>
      </c>
      <c r="S24" s="3022">
        <f>メイン!C63</f>
        <v>20000</v>
      </c>
      <c r="T24" s="2445"/>
      <c r="U24" s="2445"/>
    </row>
    <row r="25" spans="2:21">
      <c r="B25" s="2331"/>
      <c r="C25" s="841"/>
      <c r="D25" s="843"/>
      <c r="E25" s="2101"/>
      <c r="F25" s="2096"/>
      <c r="G25" s="2096"/>
      <c r="H25" s="2096"/>
      <c r="I25" s="2096"/>
      <c r="J25" s="2096"/>
      <c r="K25" s="2096"/>
      <c r="L25" s="2335"/>
      <c r="M25" s="2096"/>
      <c r="N25" s="2096"/>
      <c r="O25" s="2336"/>
      <c r="R25" s="1" t="str">
        <f>メイン!B64</f>
        <v xml:space="preserve"> 集合住宅</v>
      </c>
      <c r="S25" s="3022">
        <f>メイン!C64</f>
        <v>320</v>
      </c>
      <c r="T25" s="2445"/>
      <c r="U25" s="2445"/>
    </row>
    <row r="26" spans="2:21" hidden="1">
      <c r="B26" s="2331"/>
      <c r="C26" s="841" t="s">
        <v>1977</v>
      </c>
      <c r="D26" s="2096"/>
      <c r="E26" s="843" t="s">
        <v>356</v>
      </c>
      <c r="F26" s="2327">
        <f>メイン!N47</f>
        <v>1</v>
      </c>
      <c r="G26" s="2096"/>
      <c r="H26" s="2318">
        <f>IF(OR($F$20=$R$6,$F$20=$U$6),CO2データ!I242,IF($F$20=$S$6,CO2データ!L242,CO2データ!O242))</f>
        <v>60</v>
      </c>
      <c r="I26" s="2318">
        <f>IF(OR($F$20=$R$6,$F$20=$U$6),CO2データ!J242,IF($F$20=$S$6,CO2データ!M242,CO2データ!P242))</f>
        <v>60</v>
      </c>
      <c r="J26" s="2318">
        <f>IF(OR($F$20=$R$6,$F$20=$U$6),CO2データ!K242,IF($F$20=$S$6,CO2データ!N242,CO2データ!Q242))</f>
        <v>60</v>
      </c>
      <c r="K26" s="2337">
        <f t="shared" ref="K26:K34" si="3">K10</f>
        <v>3</v>
      </c>
      <c r="L26" s="2338">
        <f t="shared" ref="L26:L34" si="4">IF($F26=1,IF($K26&lt;4,$H26,IF($K26&lt;5,$I26,$J26)),0)</f>
        <v>60</v>
      </c>
      <c r="M26" s="2096"/>
      <c r="N26" s="2110">
        <v>3</v>
      </c>
      <c r="O26" s="2339">
        <f t="shared" ref="O26:O34" si="5">IF($F26=1,IF($N26&lt;4,$H26,IF($N26&lt;5,$I26,$J26)),0)</f>
        <v>60</v>
      </c>
      <c r="R26" t="str">
        <f t="shared" ref="R26:R34" si="6">IF($F26&lt;&gt;1,"",$E26&amp;"部分"&amp;L26&amp;"年,")</f>
        <v>事務所部分60年,</v>
      </c>
      <c r="U26" t="str">
        <f t="shared" ref="U26:U34" si="7">IF($F26&lt;&gt;1,"",$E26&amp;"部分"&amp;O26&amp;"年,")</f>
        <v>事務所部分60年,</v>
      </c>
    </row>
    <row r="27" spans="2:21" hidden="1">
      <c r="B27" s="2331"/>
      <c r="C27" s="841"/>
      <c r="D27" s="2096"/>
      <c r="E27" s="843" t="s">
        <v>358</v>
      </c>
      <c r="F27" s="2327">
        <f>メイン!N49</f>
        <v>0</v>
      </c>
      <c r="G27" s="2096"/>
      <c r="H27" s="2318">
        <f>IF(OR($F$20=$R$6,$F$20=$U$6),CO2データ!I243,IF($F$20=$S$6,CO2データ!L243,CO2データ!O243))</f>
        <v>60</v>
      </c>
      <c r="I27" s="2318">
        <f>IF(OR($F$20=$R$6,$F$20=$U$6),CO2データ!J243,IF($F$20=$S$6,CO2データ!M243,CO2データ!P243))</f>
        <v>60</v>
      </c>
      <c r="J27" s="2318">
        <f>IF(OR($F$20=$R$6,$F$20=$U$6),CO2データ!K243,IF($F$20=$S$6,CO2データ!N243,CO2データ!Q243))</f>
        <v>60</v>
      </c>
      <c r="K27" s="2337">
        <f t="shared" si="3"/>
        <v>3</v>
      </c>
      <c r="L27" s="2338">
        <f t="shared" si="4"/>
        <v>0</v>
      </c>
      <c r="M27" s="2096"/>
      <c r="N27" s="2110">
        <v>3</v>
      </c>
      <c r="O27" s="2339">
        <f t="shared" si="5"/>
        <v>0</v>
      </c>
      <c r="R27" t="str">
        <f t="shared" si="6"/>
        <v/>
      </c>
      <c r="U27" t="str">
        <f t="shared" si="7"/>
        <v/>
      </c>
    </row>
    <row r="28" spans="2:21" hidden="1">
      <c r="B28" s="2331"/>
      <c r="C28" s="841"/>
      <c r="D28" s="2096"/>
      <c r="E28" s="843" t="s">
        <v>360</v>
      </c>
      <c r="F28" s="2327">
        <f>メイン!N54</f>
        <v>0</v>
      </c>
      <c r="G28" s="2096"/>
      <c r="H28" s="2318">
        <f>IF(OR($F$20=$R$6,$F$20=$U$6),CO2データ!I244,IF($F$20=$S$6,CO2データ!L244,CO2データ!O244))</f>
        <v>30</v>
      </c>
      <c r="I28" s="2318">
        <f>IF(OR($F$20=$R$6,$F$20=$U$6),CO2データ!J244,IF($F$20=$S$6,CO2データ!M244,CO2データ!P244))</f>
        <v>30</v>
      </c>
      <c r="J28" s="2318">
        <f>IF(OR($F$20=$R$6,$F$20=$U$6),CO2データ!K244,IF($F$20=$S$6,CO2データ!N244,CO2データ!Q244))</f>
        <v>30</v>
      </c>
      <c r="K28" s="2337">
        <f t="shared" si="3"/>
        <v>3</v>
      </c>
      <c r="L28" s="2338">
        <f t="shared" si="4"/>
        <v>0</v>
      </c>
      <c r="M28" s="2096"/>
      <c r="N28" s="2110">
        <v>3</v>
      </c>
      <c r="O28" s="2339">
        <f t="shared" si="5"/>
        <v>0</v>
      </c>
      <c r="R28" t="str">
        <f t="shared" si="6"/>
        <v/>
      </c>
      <c r="U28" t="str">
        <f t="shared" si="7"/>
        <v/>
      </c>
    </row>
    <row r="29" spans="2:21" hidden="1">
      <c r="B29" s="2331"/>
      <c r="C29" s="841"/>
      <c r="D29" s="2096"/>
      <c r="E29" s="843" t="s">
        <v>362</v>
      </c>
      <c r="F29" s="2327">
        <f>メイン!N56</f>
        <v>0</v>
      </c>
      <c r="G29" s="2096"/>
      <c r="H29" s="2318">
        <f>IF(OR($F$20=$R$6,$F$20=$U$6),CO2データ!I245,IF($F$20=$S$6,CO2データ!L245,CO2データ!O245))</f>
        <v>30</v>
      </c>
      <c r="I29" s="2318">
        <f>IF(OR($F$20=$R$6,$F$20=$U$6),CO2データ!J245,IF($F$20=$S$6,CO2データ!M245,CO2データ!P245))</f>
        <v>30</v>
      </c>
      <c r="J29" s="2318">
        <f>IF(OR($F$20=$R$6,$F$20=$U$6),CO2データ!K245,IF($F$20=$S$6,CO2データ!N245,CO2データ!Q245))</f>
        <v>30</v>
      </c>
      <c r="K29" s="2337">
        <f t="shared" si="3"/>
        <v>3</v>
      </c>
      <c r="L29" s="2338">
        <f t="shared" si="4"/>
        <v>0</v>
      </c>
      <c r="M29" s="2096"/>
      <c r="N29" s="2110">
        <v>3</v>
      </c>
      <c r="O29" s="2339">
        <f t="shared" si="5"/>
        <v>0</v>
      </c>
      <c r="R29" t="str">
        <f t="shared" si="6"/>
        <v/>
      </c>
      <c r="U29" t="str">
        <f t="shared" si="7"/>
        <v/>
      </c>
    </row>
    <row r="30" spans="2:21" hidden="1">
      <c r="B30" s="2331"/>
      <c r="C30" s="841"/>
      <c r="D30" s="2096"/>
      <c r="E30" s="2101" t="s">
        <v>1617</v>
      </c>
      <c r="F30" s="2327">
        <f>メイン!N57</f>
        <v>0</v>
      </c>
      <c r="G30" s="2096"/>
      <c r="H30" s="2318">
        <f>IF(OR($F$20=$R$6,$F$20=$U$6),CO2データ!I246,IF($F$20=$S$6,CO2データ!L246,CO2データ!O246))</f>
        <v>60</v>
      </c>
      <c r="I30" s="2318">
        <f>IF(OR($F$20=$R$6,$F$20=$U$6),CO2データ!J246,IF($F$20=$S$6,CO2データ!M246,CO2データ!P246))</f>
        <v>60</v>
      </c>
      <c r="J30" s="2318">
        <f>IF(OR($F$20=$R$6,$F$20=$U$6),CO2データ!K246,IF($F$20=$S$6,CO2データ!N246,CO2データ!Q246))</f>
        <v>60</v>
      </c>
      <c r="K30" s="2337">
        <f t="shared" si="3"/>
        <v>3</v>
      </c>
      <c r="L30" s="2338">
        <f t="shared" si="4"/>
        <v>0</v>
      </c>
      <c r="M30" s="2096"/>
      <c r="N30" s="2110">
        <v>3</v>
      </c>
      <c r="O30" s="2339">
        <f t="shared" si="5"/>
        <v>0</v>
      </c>
      <c r="R30" t="str">
        <f t="shared" si="6"/>
        <v/>
      </c>
      <c r="U30" t="str">
        <f t="shared" si="7"/>
        <v/>
      </c>
    </row>
    <row r="31" spans="2:21" hidden="1">
      <c r="B31" s="2331"/>
      <c r="C31" s="841"/>
      <c r="D31" s="2096"/>
      <c r="E31" s="2101" t="s">
        <v>372</v>
      </c>
      <c r="F31" s="2327">
        <f>メイン!N60</f>
        <v>0</v>
      </c>
      <c r="G31" s="2096"/>
      <c r="H31" s="2318">
        <f>IF(OR($F$20=$R$6,$F$20=$U$6),CO2データ!I247,IF($F$20=$S$6,CO2データ!L247,CO2データ!O247))</f>
        <v>30</v>
      </c>
      <c r="I31" s="2318">
        <f>IF(OR($F$20=$R$6,$F$20=$U$6),CO2データ!J247,IF($F$20=$S$6,CO2データ!M247,CO2データ!P247))</f>
        <v>30</v>
      </c>
      <c r="J31" s="2318">
        <f>IF(OR($F$20=$R$6,$F$20=$U$6),CO2データ!K247,IF($F$20=$S$6,CO2データ!N247,CO2データ!Q247))</f>
        <v>30</v>
      </c>
      <c r="K31" s="2337">
        <f t="shared" si="3"/>
        <v>3</v>
      </c>
      <c r="L31" s="2338">
        <f t="shared" si="4"/>
        <v>0</v>
      </c>
      <c r="M31" s="2096"/>
      <c r="N31" s="2110">
        <v>3</v>
      </c>
      <c r="O31" s="2339">
        <f t="shared" si="5"/>
        <v>0</v>
      </c>
      <c r="R31" t="str">
        <f t="shared" si="6"/>
        <v/>
      </c>
      <c r="U31" t="str">
        <f t="shared" si="7"/>
        <v/>
      </c>
    </row>
    <row r="32" spans="2:21" hidden="1">
      <c r="B32" s="2331"/>
      <c r="C32" s="841"/>
      <c r="D32" s="2096"/>
      <c r="E32" s="2101" t="s">
        <v>366</v>
      </c>
      <c r="F32" s="2327">
        <f>メイン!N61</f>
        <v>0</v>
      </c>
      <c r="G32" s="2096"/>
      <c r="H32" s="2318">
        <f>IF(OR($F$20=$R$6,$F$20=$U$6),CO2データ!I248,IF($F$20=$S$6,CO2データ!L248,CO2データ!O248))</f>
        <v>60</v>
      </c>
      <c r="I32" s="2318">
        <f>IF(OR($F$20=$R$6,$F$20=$U$6),CO2データ!J248,IF($F$20=$S$6,CO2データ!M248,CO2データ!P248))</f>
        <v>60</v>
      </c>
      <c r="J32" s="2318">
        <f>IF(OR($F$20=$R$6,$F$20=$U$6),CO2データ!K248,IF($F$20=$S$6,CO2データ!N248,CO2データ!Q248))</f>
        <v>60</v>
      </c>
      <c r="K32" s="2337">
        <f t="shared" si="3"/>
        <v>3</v>
      </c>
      <c r="L32" s="2338">
        <f t="shared" si="4"/>
        <v>0</v>
      </c>
      <c r="M32" s="2096"/>
      <c r="N32" s="2110">
        <v>3</v>
      </c>
      <c r="O32" s="2339">
        <f t="shared" si="5"/>
        <v>0</v>
      </c>
      <c r="R32" t="str">
        <f t="shared" si="6"/>
        <v/>
      </c>
      <c r="U32" t="str">
        <f t="shared" si="7"/>
        <v/>
      </c>
    </row>
    <row r="33" spans="2:21" hidden="1">
      <c r="B33" s="2331"/>
      <c r="C33" s="841"/>
      <c r="D33" s="2096"/>
      <c r="E33" s="2101" t="s">
        <v>262</v>
      </c>
      <c r="F33" s="2327">
        <f>メイン!N62</f>
        <v>0</v>
      </c>
      <c r="G33" s="2096"/>
      <c r="H33" s="2318">
        <f>IF(OR($F$20=$R$6,$F$20=$U$6),CO2データ!I249,IF($F$20=$S$6,CO2データ!L249,CO2データ!O249))</f>
        <v>60</v>
      </c>
      <c r="I33" s="2318">
        <f>IF(OR($F$20=$R$6,$F$20=$U$6),CO2データ!J249,IF($F$20=$S$6,CO2データ!M249,CO2データ!P249))</f>
        <v>60</v>
      </c>
      <c r="J33" s="2318">
        <f>IF(OR($F$20=$R$6,$F$20=$U$6),CO2データ!K249,IF($F$20=$S$6,CO2データ!N249,CO2データ!Q249))</f>
        <v>60</v>
      </c>
      <c r="K33" s="2337">
        <f t="shared" si="3"/>
        <v>3</v>
      </c>
      <c r="L33" s="2338">
        <f t="shared" si="4"/>
        <v>0</v>
      </c>
      <c r="M33" s="2096"/>
      <c r="N33" s="2110">
        <v>3</v>
      </c>
      <c r="O33" s="2339">
        <f t="shared" si="5"/>
        <v>0</v>
      </c>
      <c r="R33" t="str">
        <f t="shared" si="6"/>
        <v/>
      </c>
      <c r="U33" t="str">
        <f t="shared" si="7"/>
        <v/>
      </c>
    </row>
    <row r="34" spans="2:21" ht="14.25" hidden="1" thickBot="1">
      <c r="B34" s="2331"/>
      <c r="C34" s="841"/>
      <c r="D34" s="2096"/>
      <c r="E34" s="2101" t="s">
        <v>370</v>
      </c>
      <c r="F34" s="2327">
        <f>メイン!N64</f>
        <v>2</v>
      </c>
      <c r="G34" s="2096"/>
      <c r="H34" s="2318">
        <f>IF(OR($F$20=$R$6,$F$20=$U$6),CO2データ!I250,IF($F$20=$S$6,CO2データ!L250,CO2データ!O250))</f>
        <v>30</v>
      </c>
      <c r="I34" s="2318">
        <f>IF(OR($F$20=$R$6,$F$20=$U$6),CO2データ!J250,IF($F$20=$S$6,CO2データ!M250,CO2データ!P250))</f>
        <v>60</v>
      </c>
      <c r="J34" s="2318">
        <f>IF(OR($F$20=$R$6,$F$20=$U$6),CO2データ!K250,IF($F$20=$S$6,CO2データ!N250,CO2データ!Q250))</f>
        <v>90</v>
      </c>
      <c r="K34" s="2337">
        <f t="shared" si="3"/>
        <v>3</v>
      </c>
      <c r="L34" s="2338">
        <f t="shared" si="4"/>
        <v>0</v>
      </c>
      <c r="M34" s="2096"/>
      <c r="N34" s="2110">
        <v>3</v>
      </c>
      <c r="O34" s="2339">
        <f t="shared" si="5"/>
        <v>0</v>
      </c>
      <c r="R34" t="str">
        <f t="shared" si="6"/>
        <v/>
      </c>
      <c r="U34" t="str">
        <f t="shared" si="7"/>
        <v/>
      </c>
    </row>
    <row r="35" spans="2:21" ht="14.25" hidden="1" thickBot="1">
      <c r="B35" s="2331"/>
      <c r="C35" s="841"/>
      <c r="D35" s="2096"/>
      <c r="E35" s="2101"/>
      <c r="F35" s="2101"/>
      <c r="G35" s="2101"/>
      <c r="H35" s="2101"/>
      <c r="I35" s="2101"/>
      <c r="J35" s="2101"/>
      <c r="K35" s="2101"/>
      <c r="L35" s="2340" t="str">
        <f>R26&amp;R27&amp;R28&amp;R29&amp;R30&amp;R31&amp;R32&amp;R33&amp;R34&amp;R35</f>
        <v>事務所部分60年,他</v>
      </c>
      <c r="M35" s="2101"/>
      <c r="N35" s="2101"/>
      <c r="O35" s="2340" t="str">
        <f>U26&amp;U27&amp;U28&amp;U29&amp;U30&amp;U31&amp;U32&amp;U33&amp;U34&amp;U35</f>
        <v>事務所部分60年,他</v>
      </c>
      <c r="R35" t="str">
        <f>IF(SUM(F26:F34)&gt;1,"他","")</f>
        <v>他</v>
      </c>
      <c r="U35" t="str">
        <f>IF(SUM(F26:F34)&gt;1,"他","")</f>
        <v>他</v>
      </c>
    </row>
    <row r="36" spans="2:21" hidden="1">
      <c r="B36" s="2331"/>
      <c r="C36" s="841"/>
      <c r="D36" s="2096"/>
      <c r="E36" s="2101"/>
      <c r="F36" s="2101"/>
      <c r="G36" s="2101"/>
      <c r="H36" s="2101"/>
      <c r="I36" s="2101"/>
      <c r="J36" s="2101"/>
      <c r="K36" s="2101"/>
      <c r="L36" s="2101"/>
      <c r="M36" s="2101"/>
      <c r="N36" s="2101"/>
      <c r="O36" s="2341"/>
    </row>
    <row r="37" spans="2:21" hidden="1">
      <c r="B37" s="2342"/>
      <c r="C37" s="2343" t="s">
        <v>1978</v>
      </c>
      <c r="D37" s="2343"/>
      <c r="E37" s="2098"/>
      <c r="F37" s="2098"/>
      <c r="G37" s="2098"/>
      <c r="H37" s="2344"/>
      <c r="I37" s="2345" t="s">
        <v>1979</v>
      </c>
      <c r="J37" s="2345" t="s">
        <v>1980</v>
      </c>
      <c r="K37" s="2346"/>
      <c r="L37" s="2346"/>
      <c r="M37" s="2346"/>
      <c r="N37" s="2346"/>
      <c r="O37" s="2347"/>
    </row>
    <row r="38" spans="2:21" hidden="1">
      <c r="B38" s="2342"/>
      <c r="C38" s="2098"/>
      <c r="D38" s="2098" t="s">
        <v>1461</v>
      </c>
      <c r="E38" s="2098"/>
      <c r="F38" s="2318">
        <f>F10</f>
        <v>0.98425196850393704</v>
      </c>
      <c r="G38" s="2098"/>
      <c r="H38" s="2318">
        <f>IF(OR($F$20=$R$6,$F$20=$U$6),CO2データ!I253,IF($F$20=$S$6,CO2データ!L253,CO2データ!O253))</f>
        <v>0.77200000000000002</v>
      </c>
      <c r="I38" s="2318">
        <f>IF(OR($F$20=$R$6,$F$20=$U$6),CO2データ!J253,IF($F$20=$S$6,CO2データ!M253,CO2データ!P253))</f>
        <v>0</v>
      </c>
      <c r="J38" s="2318">
        <f>IF(OR($F$20=$R$6,$F$20=$U$6),CO2データ!K253,IF($F$20=$S$6,CO2データ!N253,CO2データ!Q253))</f>
        <v>0</v>
      </c>
      <c r="K38" s="2346"/>
      <c r="L38" s="2344">
        <f t="shared" ref="L38:L69" si="8">H38-(H38-I38)*$F$21-(H38-J38)*$F$22</f>
        <v>0.77200000000000002</v>
      </c>
      <c r="M38" s="2346"/>
      <c r="N38" s="2344"/>
      <c r="O38" s="2348">
        <f t="shared" ref="O38:O69" si="9">H38</f>
        <v>0.77200000000000002</v>
      </c>
      <c r="P38" t="s">
        <v>1982</v>
      </c>
    </row>
    <row r="39" spans="2:21" hidden="1">
      <c r="B39" s="2342"/>
      <c r="C39" s="2098"/>
      <c r="D39" s="2098"/>
      <c r="E39" s="2098"/>
      <c r="F39" s="2318">
        <f>$F$38</f>
        <v>0.98425196850393704</v>
      </c>
      <c r="G39" s="2098"/>
      <c r="H39" s="2318">
        <f>IF(OR($F$20=$R$6,$F$20=$U$6),CO2データ!I254,IF($F$20=$S$6,CO2データ!L254,CO2データ!O254))</f>
        <v>0</v>
      </c>
      <c r="I39" s="2318">
        <f>IF(OR($F$20=$R$6,$F$20=$U$6),CO2データ!J254,IF($F$20=$S$6,CO2データ!M254,CO2データ!P254))</f>
        <v>0</v>
      </c>
      <c r="J39" s="2318">
        <f>IF(OR($F$20=$R$6,$F$20=$U$6),CO2データ!K254,IF($F$20=$S$6,CO2データ!N254,CO2データ!Q254))</f>
        <v>0.77200000000000002</v>
      </c>
      <c r="K39" s="2346"/>
      <c r="L39" s="2344">
        <f t="shared" si="8"/>
        <v>0</v>
      </c>
      <c r="M39" s="2346"/>
      <c r="N39" s="2344"/>
      <c r="O39" s="2348">
        <f t="shared" si="9"/>
        <v>0</v>
      </c>
      <c r="P39" t="s">
        <v>1982</v>
      </c>
    </row>
    <row r="40" spans="2:21" hidden="1">
      <c r="B40" s="2342"/>
      <c r="C40" s="2098"/>
      <c r="D40" s="2098"/>
      <c r="E40" s="2098"/>
      <c r="F40" s="2318">
        <f>$F$38</f>
        <v>0.98425196850393704</v>
      </c>
      <c r="G40" s="2098"/>
      <c r="H40" s="2318">
        <f>IF(OR($F$20=$R$6,$F$20=$U$6),CO2データ!I255,IF($F$20=$S$6,CO2データ!L255,CO2データ!O255))</f>
        <v>3.7999999999999999E-2</v>
      </c>
      <c r="I40" s="2318">
        <f>IF(OR($F$20=$R$6,$F$20=$U$6),CO2データ!J255,IF($F$20=$S$6,CO2データ!M255,CO2データ!P255))</f>
        <v>0</v>
      </c>
      <c r="J40" s="2318">
        <f>IF(OR($F$20=$R$6,$F$20=$U$6),CO2データ!K255,IF($F$20=$S$6,CO2データ!N255,CO2データ!Q255))</f>
        <v>3.7999999999999999E-2</v>
      </c>
      <c r="K40" s="2346"/>
      <c r="L40" s="2344">
        <f t="shared" si="8"/>
        <v>3.7999999999999999E-2</v>
      </c>
      <c r="M40" s="2346"/>
      <c r="N40" s="2344"/>
      <c r="O40" s="2348">
        <f t="shared" si="9"/>
        <v>3.7999999999999999E-2</v>
      </c>
      <c r="P40" t="s">
        <v>1985</v>
      </c>
    </row>
    <row r="41" spans="2:21" hidden="1">
      <c r="B41" s="2342"/>
      <c r="C41" s="2098"/>
      <c r="D41" s="2098"/>
      <c r="E41" s="2098"/>
      <c r="F41" s="2318">
        <f>$F$38</f>
        <v>0.98425196850393704</v>
      </c>
      <c r="G41" s="2098"/>
      <c r="H41" s="2318">
        <f>IF(OR($F$20=$R$6,$F$20=$U$6),CO2データ!I256,IF($F$20=$S$6,CO2データ!L256,CO2データ!O256))</f>
        <v>0</v>
      </c>
      <c r="I41" s="2318">
        <f>IF(OR($F$20=$R$6,$F$20=$U$6),CO2データ!J256,IF($F$20=$S$6,CO2データ!M256,CO2データ!P256))</f>
        <v>0</v>
      </c>
      <c r="J41" s="2318">
        <f>IF(OR($F$20=$R$6,$F$20=$U$6),CO2データ!K256,IF($F$20=$S$6,CO2データ!N256,CO2データ!Q256))</f>
        <v>0</v>
      </c>
      <c r="K41" s="2346"/>
      <c r="L41" s="2344">
        <f t="shared" si="8"/>
        <v>0</v>
      </c>
      <c r="M41" s="2346"/>
      <c r="N41" s="2344"/>
      <c r="O41" s="2348">
        <f t="shared" si="9"/>
        <v>0</v>
      </c>
      <c r="P41" t="s">
        <v>1985</v>
      </c>
    </row>
    <row r="42" spans="2:21" hidden="1">
      <c r="B42" s="2342"/>
      <c r="C42" s="2098"/>
      <c r="D42" s="2098"/>
      <c r="E42" s="2098"/>
      <c r="F42" s="2318">
        <f>$F$38</f>
        <v>0.98425196850393704</v>
      </c>
      <c r="G42" s="2098"/>
      <c r="H42" s="2318">
        <f>IF(OR($F$20=$R$6,$F$20=$U$6),CO2データ!I257,IF($F$20=$S$6,CO2データ!L257,CO2データ!O257))</f>
        <v>0.10299999999999999</v>
      </c>
      <c r="I42" s="2318">
        <f>IF(OR($F$20=$R$6,$F$20=$U$6),CO2データ!J257,IF($F$20=$S$6,CO2データ!M257,CO2データ!P257))</f>
        <v>0</v>
      </c>
      <c r="J42" s="2318">
        <f>IF(OR($F$20=$R$6,$F$20=$U$6),CO2データ!K257,IF($F$20=$S$6,CO2データ!N257,CO2データ!Q257))</f>
        <v>0.10299999999999999</v>
      </c>
      <c r="K42" s="2346"/>
      <c r="L42" s="2344">
        <f t="shared" si="8"/>
        <v>0.10299999999999999</v>
      </c>
      <c r="M42" s="2346"/>
      <c r="N42" s="2344"/>
      <c r="O42" s="2348">
        <f t="shared" si="9"/>
        <v>0.10299999999999999</v>
      </c>
      <c r="P42" t="s">
        <v>1985</v>
      </c>
    </row>
    <row r="43" spans="2:21" hidden="1">
      <c r="B43" s="2342"/>
      <c r="C43" s="2098"/>
      <c r="D43" s="2098"/>
      <c r="E43" s="2098"/>
      <c r="F43" s="2318">
        <f>$F$38</f>
        <v>0.98425196850393704</v>
      </c>
      <c r="G43" s="2098"/>
      <c r="H43" s="2318">
        <f>IF(OR($F$20=$R$6,$F$20=$U$6),CO2データ!I258,IF($F$20=$S$6,CO2データ!L258,CO2データ!O258))</f>
        <v>1.2999999999999999E-2</v>
      </c>
      <c r="I43" s="2318">
        <f>IF(OR($F$20=$R$6,$F$20=$U$6),CO2データ!J258,IF($F$20=$S$6,CO2データ!M258,CO2データ!P258))</f>
        <v>0</v>
      </c>
      <c r="J43" s="2318">
        <f>IF(OR($F$20=$R$6,$F$20=$U$6),CO2データ!K258,IF($F$20=$S$6,CO2データ!N258,CO2データ!Q258))</f>
        <v>1.26E-2</v>
      </c>
      <c r="K43" s="2346"/>
      <c r="L43" s="2344">
        <f t="shared" si="8"/>
        <v>1.2999999999999999E-2</v>
      </c>
      <c r="M43" s="2346"/>
      <c r="N43" s="2344"/>
      <c r="O43" s="2348">
        <f t="shared" si="9"/>
        <v>1.2999999999999999E-2</v>
      </c>
      <c r="P43" t="s">
        <v>1985</v>
      </c>
    </row>
    <row r="44" spans="2:21" hidden="1">
      <c r="B44" s="2342"/>
      <c r="C44" s="2098"/>
      <c r="D44" s="2098" t="s">
        <v>1462</v>
      </c>
      <c r="E44" s="2098"/>
      <c r="F44" s="2318">
        <f>F11</f>
        <v>0</v>
      </c>
      <c r="G44" s="2098"/>
      <c r="H44" s="2318">
        <f>IF(OR($F$20=$R$6,$F$20=$U$6),CO2データ!I259,IF($F$20=$S$6,CO2データ!L259,CO2データ!O259))</f>
        <v>0.86499999999999999</v>
      </c>
      <c r="I44" s="2318">
        <f>IF(OR($F$20=$R$6,$F$20=$U$6),CO2データ!J259,IF($F$20=$S$6,CO2データ!M259,CO2データ!P259))</f>
        <v>0</v>
      </c>
      <c r="J44" s="2318">
        <f>IF(OR($F$20=$R$6,$F$20=$U$6),CO2データ!K259,IF($F$20=$S$6,CO2データ!N259,CO2データ!Q259))</f>
        <v>0</v>
      </c>
      <c r="K44" s="2346"/>
      <c r="L44" s="2344">
        <f t="shared" si="8"/>
        <v>0.86499999999999999</v>
      </c>
      <c r="M44" s="2346"/>
      <c r="N44" s="2344"/>
      <c r="O44" s="2348">
        <f t="shared" si="9"/>
        <v>0.86499999999999999</v>
      </c>
      <c r="P44" t="s">
        <v>1982</v>
      </c>
    </row>
    <row r="45" spans="2:21" hidden="1">
      <c r="B45" s="2342"/>
      <c r="C45" s="2098"/>
      <c r="D45" s="2098"/>
      <c r="E45" s="2098"/>
      <c r="F45" s="2318">
        <f>$F$44</f>
        <v>0</v>
      </c>
      <c r="G45" s="2098"/>
      <c r="H45" s="2318">
        <f>IF(OR($F$20=$R$6,$F$20=$U$6),CO2データ!I260,IF($F$20=$S$6,CO2データ!L260,CO2データ!O260))</f>
        <v>0</v>
      </c>
      <c r="I45" s="2318">
        <f>IF(OR($F$20=$R$6,$F$20=$U$6),CO2データ!J260,IF($F$20=$S$6,CO2データ!M260,CO2データ!P260))</f>
        <v>0</v>
      </c>
      <c r="J45" s="2318">
        <f>IF(OR($F$20=$R$6,$F$20=$U$6),CO2データ!K260,IF($F$20=$S$6,CO2データ!N260,CO2データ!Q260))</f>
        <v>0.86499999999999999</v>
      </c>
      <c r="K45" s="2346"/>
      <c r="L45" s="2344">
        <f t="shared" si="8"/>
        <v>0</v>
      </c>
      <c r="M45" s="2346"/>
      <c r="N45" s="2344"/>
      <c r="O45" s="2348">
        <f t="shared" si="9"/>
        <v>0</v>
      </c>
      <c r="P45" t="s">
        <v>1982</v>
      </c>
    </row>
    <row r="46" spans="2:21" hidden="1">
      <c r="B46" s="2342"/>
      <c r="C46" s="2098"/>
      <c r="D46" s="2098"/>
      <c r="E46" s="2098"/>
      <c r="F46" s="2318">
        <f>$F$44</f>
        <v>0</v>
      </c>
      <c r="G46" s="2098"/>
      <c r="H46" s="2318">
        <f>IF(OR($F$20=$R$6,$F$20=$U$6),CO2データ!I261,IF($F$20=$S$6,CO2データ!L261,CO2データ!O261))</f>
        <v>5.0000000000000001E-3</v>
      </c>
      <c r="I46" s="2318">
        <f>IF(OR($F$20=$R$6,$F$20=$U$6),CO2データ!J261,IF($F$20=$S$6,CO2データ!M261,CO2データ!P261))</f>
        <v>0</v>
      </c>
      <c r="J46" s="2318">
        <f>IF(OR($F$20=$R$6,$F$20=$U$6),CO2データ!K261,IF($F$20=$S$6,CO2データ!N261,CO2データ!Q261))</f>
        <v>5.0000000000000001E-3</v>
      </c>
      <c r="K46" s="2346"/>
      <c r="L46" s="2344">
        <f t="shared" si="8"/>
        <v>5.0000000000000001E-3</v>
      </c>
      <c r="M46" s="2346"/>
      <c r="N46" s="2344"/>
      <c r="O46" s="2348">
        <f t="shared" si="9"/>
        <v>5.0000000000000001E-3</v>
      </c>
      <c r="P46" t="s">
        <v>1985</v>
      </c>
    </row>
    <row r="47" spans="2:21" hidden="1">
      <c r="B47" s="2342"/>
      <c r="C47" s="2098"/>
      <c r="D47" s="2098"/>
      <c r="E47" s="2098"/>
      <c r="F47" s="2318">
        <f>$F$44</f>
        <v>0</v>
      </c>
      <c r="G47" s="2098"/>
      <c r="H47" s="2318">
        <f>IF(OR($F$20=$R$6,$F$20=$U$6),CO2データ!I262,IF($F$20=$S$6,CO2データ!L262,CO2データ!O262))</f>
        <v>0</v>
      </c>
      <c r="I47" s="2318">
        <f>IF(OR($F$20=$R$6,$F$20=$U$6),CO2データ!J262,IF($F$20=$S$6,CO2データ!M262,CO2データ!P262))</f>
        <v>0</v>
      </c>
      <c r="J47" s="2318">
        <f>IF(OR($F$20=$R$6,$F$20=$U$6),CO2データ!K262,IF($F$20=$S$6,CO2データ!N262,CO2データ!Q262))</f>
        <v>0</v>
      </c>
      <c r="K47" s="2346"/>
      <c r="L47" s="2344">
        <f t="shared" si="8"/>
        <v>0</v>
      </c>
      <c r="M47" s="2346"/>
      <c r="N47" s="2344"/>
      <c r="O47" s="2348">
        <f t="shared" si="9"/>
        <v>0</v>
      </c>
      <c r="P47" t="s">
        <v>1985</v>
      </c>
    </row>
    <row r="48" spans="2:21" hidden="1">
      <c r="B48" s="2342"/>
      <c r="C48" s="2098"/>
      <c r="D48" s="2098"/>
      <c r="E48" s="2098"/>
      <c r="F48" s="2318">
        <f>$F$44</f>
        <v>0</v>
      </c>
      <c r="G48" s="2098"/>
      <c r="H48" s="2318">
        <f>IF(OR($F$20=$R$6,$F$20=$U$6),CO2データ!I263,IF($F$20=$S$6,CO2データ!L263,CO2データ!O263))</f>
        <v>0.112</v>
      </c>
      <c r="I48" s="2318">
        <f>IF(OR($F$20=$R$6,$F$20=$U$6),CO2データ!J263,IF($F$20=$S$6,CO2データ!M263,CO2データ!P263))</f>
        <v>0</v>
      </c>
      <c r="J48" s="2318">
        <f>IF(OR($F$20=$R$6,$F$20=$U$6),CO2データ!K263,IF($F$20=$S$6,CO2データ!N263,CO2データ!Q263))</f>
        <v>0.112</v>
      </c>
      <c r="K48" s="2346"/>
      <c r="L48" s="2344">
        <f t="shared" si="8"/>
        <v>0.112</v>
      </c>
      <c r="M48" s="2346"/>
      <c r="N48" s="2344"/>
      <c r="O48" s="2348">
        <f t="shared" si="9"/>
        <v>0.112</v>
      </c>
      <c r="P48" t="s">
        <v>1985</v>
      </c>
    </row>
    <row r="49" spans="2:16" hidden="1">
      <c r="B49" s="2342"/>
      <c r="C49" s="2098"/>
      <c r="D49" s="2098"/>
      <c r="E49" s="2098"/>
      <c r="F49" s="2318">
        <f>$F$44</f>
        <v>0</v>
      </c>
      <c r="G49" s="2098"/>
      <c r="H49" s="2318">
        <f>IF(OR($F$20=$R$6,$F$20=$U$6),CO2データ!I264,IF($F$20=$S$6,CO2データ!L264,CO2データ!O264))</f>
        <v>1.4999999999999999E-2</v>
      </c>
      <c r="I49" s="2318">
        <f>IF(OR($F$20=$R$6,$F$20=$U$6),CO2データ!J264,IF($F$20=$S$6,CO2データ!M264,CO2データ!P264))</f>
        <v>0</v>
      </c>
      <c r="J49" s="2318">
        <f>IF(OR($F$20=$R$6,$F$20=$U$6),CO2データ!K264,IF($F$20=$S$6,CO2データ!N264,CO2データ!Q264))</f>
        <v>1.47E-2</v>
      </c>
      <c r="K49" s="2346"/>
      <c r="L49" s="2344">
        <f t="shared" si="8"/>
        <v>1.4999999999999999E-2</v>
      </c>
      <c r="M49" s="2346"/>
      <c r="N49" s="2344"/>
      <c r="O49" s="2348">
        <f t="shared" si="9"/>
        <v>1.4999999999999999E-2</v>
      </c>
      <c r="P49" t="s">
        <v>1985</v>
      </c>
    </row>
    <row r="50" spans="2:16" hidden="1">
      <c r="B50" s="2342"/>
      <c r="C50" s="2098"/>
      <c r="D50" s="2098" t="s">
        <v>1614</v>
      </c>
      <c r="E50" s="2098"/>
      <c r="F50" s="2318">
        <f>F12</f>
        <v>0</v>
      </c>
      <c r="G50" s="2098"/>
      <c r="H50" s="2318">
        <f>IF(OR($F$20=$R$6,$F$20=$U$6),CO2データ!I265,IF($F$20=$S$6,CO2データ!L265,CO2データ!O265))</f>
        <v>0.88800000000000001</v>
      </c>
      <c r="I50" s="2318">
        <f>IF(OR($F$20=$R$6,$F$20=$U$6),CO2データ!J265,IF($F$20=$S$6,CO2データ!M265,CO2データ!P265))</f>
        <v>0</v>
      </c>
      <c r="J50" s="2318">
        <f>IF(OR($F$20=$R$6,$F$20=$U$6),CO2データ!K265,IF($F$20=$S$6,CO2データ!N265,CO2データ!Q265))</f>
        <v>0</v>
      </c>
      <c r="K50" s="2346"/>
      <c r="L50" s="2344">
        <f t="shared" si="8"/>
        <v>0.88800000000000001</v>
      </c>
      <c r="M50" s="2346"/>
      <c r="N50" s="2344"/>
      <c r="O50" s="2348">
        <f t="shared" si="9"/>
        <v>0.88800000000000001</v>
      </c>
      <c r="P50" t="s">
        <v>1598</v>
      </c>
    </row>
    <row r="51" spans="2:16" hidden="1">
      <c r="B51" s="2342"/>
      <c r="C51" s="2098"/>
      <c r="D51" s="2098"/>
      <c r="E51" s="2098"/>
      <c r="F51" s="2318">
        <f>$F$50</f>
        <v>0</v>
      </c>
      <c r="G51" s="2098"/>
      <c r="H51" s="2318">
        <f>IF(OR($F$20=$R$6,$F$20=$U$6),CO2データ!I266,IF($F$20=$S$6,CO2データ!L266,CO2データ!O266))</f>
        <v>0</v>
      </c>
      <c r="I51" s="2318">
        <f>IF(OR($F$20=$R$6,$F$20=$U$6),CO2データ!J266,IF($F$20=$S$6,CO2データ!M266,CO2データ!P266))</f>
        <v>0</v>
      </c>
      <c r="J51" s="2318">
        <f>IF(OR($F$20=$R$6,$F$20=$U$6),CO2データ!K266,IF($F$20=$S$6,CO2データ!N266,CO2データ!Q266))</f>
        <v>0.88800000000000001</v>
      </c>
      <c r="K51" s="2346"/>
      <c r="L51" s="2344">
        <f t="shared" si="8"/>
        <v>0</v>
      </c>
      <c r="M51" s="2346"/>
      <c r="N51" s="2344"/>
      <c r="O51" s="2348">
        <f t="shared" si="9"/>
        <v>0</v>
      </c>
      <c r="P51" t="s">
        <v>1982</v>
      </c>
    </row>
    <row r="52" spans="2:16" hidden="1">
      <c r="B52" s="2342"/>
      <c r="C52" s="2098"/>
      <c r="D52" s="2098"/>
      <c r="E52" s="2098"/>
      <c r="F52" s="2318">
        <f>$F$50</f>
        <v>0</v>
      </c>
      <c r="G52" s="2098"/>
      <c r="H52" s="2318">
        <f>IF(OR($F$20=$R$6,$F$20=$U$6),CO2データ!I267,IF($F$20=$S$6,CO2データ!L267,CO2データ!O267))</f>
        <v>1.7000000000000001E-2</v>
      </c>
      <c r="I52" s="2318">
        <f>IF(OR($F$20=$R$6,$F$20=$U$6),CO2データ!J267,IF($F$20=$S$6,CO2データ!M267,CO2データ!P267))</f>
        <v>0</v>
      </c>
      <c r="J52" s="2318">
        <f>IF(OR($F$20=$R$6,$F$20=$U$6),CO2データ!K267,IF($F$20=$S$6,CO2データ!N267,CO2データ!Q267))</f>
        <v>1.7000000000000001E-2</v>
      </c>
      <c r="K52" s="2346"/>
      <c r="L52" s="2344">
        <f t="shared" si="8"/>
        <v>1.7000000000000001E-2</v>
      </c>
      <c r="M52" s="2346"/>
      <c r="N52" s="2344"/>
      <c r="O52" s="2348">
        <f t="shared" si="9"/>
        <v>1.7000000000000001E-2</v>
      </c>
      <c r="P52" t="s">
        <v>1985</v>
      </c>
    </row>
    <row r="53" spans="2:16" hidden="1">
      <c r="B53" s="2342"/>
      <c r="C53" s="2098"/>
      <c r="D53" s="2098"/>
      <c r="E53" s="2098"/>
      <c r="F53" s="2318">
        <f>$F$50</f>
        <v>0</v>
      </c>
      <c r="G53" s="2098"/>
      <c r="H53" s="2318">
        <f>IF(OR($F$20=$R$6,$F$20=$U$6),CO2データ!I268,IF($F$20=$S$6,CO2データ!L268,CO2データ!O268))</f>
        <v>0</v>
      </c>
      <c r="I53" s="2318">
        <f>IF(OR($F$20=$R$6,$F$20=$U$6),CO2データ!J268,IF($F$20=$S$6,CO2データ!M268,CO2データ!P268))</f>
        <v>0</v>
      </c>
      <c r="J53" s="2318">
        <f>IF(OR($F$20=$R$6,$F$20=$U$6),CO2データ!K268,IF($F$20=$S$6,CO2データ!N268,CO2データ!Q268))</f>
        <v>0</v>
      </c>
      <c r="K53" s="2346"/>
      <c r="L53" s="2344">
        <f t="shared" si="8"/>
        <v>0</v>
      </c>
      <c r="M53" s="2346"/>
      <c r="N53" s="2344"/>
      <c r="O53" s="2348">
        <f t="shared" si="9"/>
        <v>0</v>
      </c>
      <c r="P53" t="s">
        <v>1985</v>
      </c>
    </row>
    <row r="54" spans="2:16" hidden="1">
      <c r="B54" s="2342"/>
      <c r="C54" s="2098"/>
      <c r="D54" s="2098"/>
      <c r="E54" s="2098"/>
      <c r="F54" s="2318">
        <f>$F$50</f>
        <v>0</v>
      </c>
      <c r="G54" s="2098"/>
      <c r="H54" s="2318">
        <f>IF(OR($F$20=$R$6,$F$20=$U$6),CO2データ!I269,IF($F$20=$S$6,CO2データ!L269,CO2データ!O269))</f>
        <v>0.11799999999999999</v>
      </c>
      <c r="I54" s="2318">
        <f>IF(OR($F$20=$R$6,$F$20=$U$6),CO2データ!J269,IF($F$20=$S$6,CO2データ!M269,CO2データ!P269))</f>
        <v>0</v>
      </c>
      <c r="J54" s="2318">
        <f>IF(OR($F$20=$R$6,$F$20=$U$6),CO2データ!K269,IF($F$20=$S$6,CO2データ!N269,CO2データ!Q269))</f>
        <v>0.11799999999999999</v>
      </c>
      <c r="K54" s="2346"/>
      <c r="L54" s="2344">
        <f t="shared" si="8"/>
        <v>0.11799999999999999</v>
      </c>
      <c r="M54" s="2346"/>
      <c r="N54" s="2344"/>
      <c r="O54" s="2348">
        <f t="shared" si="9"/>
        <v>0.11799999999999999</v>
      </c>
      <c r="P54" t="s">
        <v>1985</v>
      </c>
    </row>
    <row r="55" spans="2:16" hidden="1">
      <c r="B55" s="2342"/>
      <c r="C55" s="2098"/>
      <c r="D55" s="2098"/>
      <c r="E55" s="2098"/>
      <c r="F55" s="2318">
        <f>$F$50</f>
        <v>0</v>
      </c>
      <c r="G55" s="2098"/>
      <c r="H55" s="2318">
        <f>IF(OR($F$20=$R$6,$F$20=$U$6),CO2データ!I270,IF($F$20=$S$6,CO2データ!L270,CO2データ!O270))</f>
        <v>1.4999999999999999E-2</v>
      </c>
      <c r="I55" s="2318">
        <f>IF(OR($F$20=$R$6,$F$20=$U$6),CO2データ!J270,IF($F$20=$S$6,CO2データ!M270,CO2データ!P270))</f>
        <v>0</v>
      </c>
      <c r="J55" s="2318">
        <f>IF(OR($F$20=$R$6,$F$20=$U$6),CO2データ!K270,IF($F$20=$S$6,CO2データ!N270,CO2データ!Q270))</f>
        <v>1.4800000000000001E-2</v>
      </c>
      <c r="K55" s="2346"/>
      <c r="L55" s="2344">
        <f t="shared" si="8"/>
        <v>1.4999999999999999E-2</v>
      </c>
      <c r="M55" s="2346"/>
      <c r="N55" s="2344"/>
      <c r="O55" s="2348">
        <f t="shared" si="9"/>
        <v>1.4999999999999999E-2</v>
      </c>
      <c r="P55" t="s">
        <v>1985</v>
      </c>
    </row>
    <row r="56" spans="2:16" hidden="1">
      <c r="B56" s="2342"/>
      <c r="C56" s="2098"/>
      <c r="D56" s="2098" t="s">
        <v>1713</v>
      </c>
      <c r="E56" s="2098"/>
      <c r="F56" s="2318">
        <f>F13</f>
        <v>0</v>
      </c>
      <c r="G56" s="2098"/>
      <c r="H56" s="2318">
        <f>IF(OR($F$20=$R$6,$F$20=$U$6),CO2データ!I271,IF($F$20=$S$6,CO2データ!L271,CO2データ!O271))</f>
        <v>0.88800000000000001</v>
      </c>
      <c r="I56" s="2318">
        <f>IF(OR($F$20=$R$6,$F$20=$U$6),CO2データ!J271,IF($F$20=$S$6,CO2データ!M271,CO2データ!P271))</f>
        <v>0</v>
      </c>
      <c r="J56" s="2318">
        <f>IF(OR($F$20=$R$6,$F$20=$U$6),CO2データ!K271,IF($F$20=$S$6,CO2データ!N271,CO2データ!Q271))</f>
        <v>0</v>
      </c>
      <c r="K56" s="2346"/>
      <c r="L56" s="2344">
        <f t="shared" si="8"/>
        <v>0.88800000000000001</v>
      </c>
      <c r="M56" s="2346"/>
      <c r="N56" s="2344"/>
      <c r="O56" s="2348">
        <f t="shared" si="9"/>
        <v>0.88800000000000001</v>
      </c>
      <c r="P56" t="s">
        <v>1982</v>
      </c>
    </row>
    <row r="57" spans="2:16" hidden="1">
      <c r="B57" s="2342"/>
      <c r="C57" s="2098"/>
      <c r="D57" s="2098"/>
      <c r="E57" s="2098"/>
      <c r="F57" s="2318">
        <f>$F$56</f>
        <v>0</v>
      </c>
      <c r="G57" s="2098"/>
      <c r="H57" s="2318">
        <f>IF(OR($F$20=$R$6,$F$20=$U$6),CO2データ!I272,IF($F$20=$S$6,CO2データ!L272,CO2データ!O272))</f>
        <v>0</v>
      </c>
      <c r="I57" s="2318">
        <f>IF(OR($F$20=$R$6,$F$20=$U$6),CO2データ!J272,IF($F$20=$S$6,CO2データ!M272,CO2データ!P272))</f>
        <v>0</v>
      </c>
      <c r="J57" s="2318">
        <f>IF(OR($F$20=$R$6,$F$20=$U$6),CO2データ!K272,IF($F$20=$S$6,CO2データ!N272,CO2データ!Q272))</f>
        <v>0.88800000000000001</v>
      </c>
      <c r="K57" s="2346"/>
      <c r="L57" s="2344">
        <f t="shared" si="8"/>
        <v>0</v>
      </c>
      <c r="M57" s="2346"/>
      <c r="N57" s="2344"/>
      <c r="O57" s="2348">
        <f t="shared" si="9"/>
        <v>0</v>
      </c>
      <c r="P57" t="s">
        <v>1982</v>
      </c>
    </row>
    <row r="58" spans="2:16" hidden="1">
      <c r="B58" s="2342"/>
      <c r="C58" s="2098"/>
      <c r="D58" s="2098"/>
      <c r="E58" s="2098"/>
      <c r="F58" s="2318">
        <f>$F$56</f>
        <v>0</v>
      </c>
      <c r="G58" s="2098"/>
      <c r="H58" s="2318">
        <f>IF(OR($F$20=$R$6,$F$20=$U$6),CO2データ!I273,IF($F$20=$S$6,CO2データ!L273,CO2データ!O273))</f>
        <v>1.7000000000000001E-2</v>
      </c>
      <c r="I58" s="2318">
        <f>IF(OR($F$20=$R$6,$F$20=$U$6),CO2データ!J273,IF($F$20=$S$6,CO2データ!M273,CO2データ!P273))</f>
        <v>0</v>
      </c>
      <c r="J58" s="2318">
        <f>IF(OR($F$20=$R$6,$F$20=$U$6),CO2データ!K273,IF($F$20=$S$6,CO2データ!N273,CO2データ!Q273))</f>
        <v>1.7000000000000001E-2</v>
      </c>
      <c r="K58" s="2346"/>
      <c r="L58" s="2344">
        <f t="shared" si="8"/>
        <v>1.7000000000000001E-2</v>
      </c>
      <c r="M58" s="2346"/>
      <c r="N58" s="2344"/>
      <c r="O58" s="2348">
        <f t="shared" si="9"/>
        <v>1.7000000000000001E-2</v>
      </c>
      <c r="P58" t="s">
        <v>1985</v>
      </c>
    </row>
    <row r="59" spans="2:16" hidden="1">
      <c r="B59" s="2342"/>
      <c r="C59" s="2098"/>
      <c r="D59" s="2098"/>
      <c r="E59" s="2098"/>
      <c r="F59" s="2318">
        <f>$F$56</f>
        <v>0</v>
      </c>
      <c r="G59" s="2098"/>
      <c r="H59" s="2318">
        <f>IF(OR($F$20=$R$6,$F$20=$U$6),CO2データ!I274,IF($F$20=$S$6,CO2データ!L274,CO2データ!O274))</f>
        <v>0</v>
      </c>
      <c r="I59" s="2318">
        <f>IF(OR($F$20=$R$6,$F$20=$U$6),CO2データ!J274,IF($F$20=$S$6,CO2データ!M274,CO2データ!P274))</f>
        <v>0</v>
      </c>
      <c r="J59" s="2318">
        <f>IF(OR($F$20=$R$6,$F$20=$U$6),CO2データ!K274,IF($F$20=$S$6,CO2データ!N274,CO2データ!Q274))</f>
        <v>0</v>
      </c>
      <c r="K59" s="2346"/>
      <c r="L59" s="2344">
        <f t="shared" si="8"/>
        <v>0</v>
      </c>
      <c r="M59" s="2346"/>
      <c r="N59" s="2344"/>
      <c r="O59" s="2348">
        <f t="shared" si="9"/>
        <v>0</v>
      </c>
      <c r="P59" t="s">
        <v>1985</v>
      </c>
    </row>
    <row r="60" spans="2:16" hidden="1">
      <c r="B60" s="2342"/>
      <c r="C60" s="2098"/>
      <c r="D60" s="2098"/>
      <c r="E60" s="2098"/>
      <c r="F60" s="2318">
        <f>$F$56</f>
        <v>0</v>
      </c>
      <c r="G60" s="2098"/>
      <c r="H60" s="2318">
        <f>IF(OR($F$20=$R$6,$F$20=$U$6),CO2データ!I275,IF($F$20=$S$6,CO2データ!L275,CO2データ!O275))</f>
        <v>0.11799999999999999</v>
      </c>
      <c r="I60" s="2318">
        <f>IF(OR($F$20=$R$6,$F$20=$U$6),CO2データ!J275,IF($F$20=$S$6,CO2データ!M275,CO2データ!P275))</f>
        <v>0</v>
      </c>
      <c r="J60" s="2318">
        <f>IF(OR($F$20=$R$6,$F$20=$U$6),CO2データ!K275,IF($F$20=$S$6,CO2データ!N275,CO2データ!Q275))</f>
        <v>0.11799999999999999</v>
      </c>
      <c r="K60" s="2346"/>
      <c r="L60" s="2344">
        <f t="shared" si="8"/>
        <v>0.11799999999999999</v>
      </c>
      <c r="M60" s="2346"/>
      <c r="N60" s="2344"/>
      <c r="O60" s="2348">
        <f t="shared" si="9"/>
        <v>0.11799999999999999</v>
      </c>
      <c r="P60" t="s">
        <v>1985</v>
      </c>
    </row>
    <row r="61" spans="2:16" hidden="1">
      <c r="B61" s="2342"/>
      <c r="C61" s="2098"/>
      <c r="D61" s="2098"/>
      <c r="E61" s="2098"/>
      <c r="F61" s="2318">
        <f>$F$56</f>
        <v>0</v>
      </c>
      <c r="G61" s="2098"/>
      <c r="H61" s="2318">
        <f>IF(OR($F$20=$R$6,$F$20=$U$6),CO2データ!I276,IF($F$20=$S$6,CO2データ!L276,CO2データ!O276))</f>
        <v>1.4999999999999999E-2</v>
      </c>
      <c r="I61" s="2318">
        <f>IF(OR($F$20=$R$6,$F$20=$U$6),CO2データ!J276,IF($F$20=$S$6,CO2データ!M276,CO2データ!P276))</f>
        <v>0</v>
      </c>
      <c r="J61" s="2318">
        <f>IF(OR($F$20=$R$6,$F$20=$U$6),CO2データ!K276,IF($F$20=$S$6,CO2データ!N276,CO2データ!Q276))</f>
        <v>1.4800000000000001E-2</v>
      </c>
      <c r="K61" s="2346"/>
      <c r="L61" s="2344">
        <f t="shared" si="8"/>
        <v>1.4999999999999999E-2</v>
      </c>
      <c r="M61" s="2346"/>
      <c r="N61" s="2344"/>
      <c r="O61" s="2348">
        <f t="shared" si="9"/>
        <v>1.4999999999999999E-2</v>
      </c>
      <c r="P61" t="s">
        <v>1985</v>
      </c>
    </row>
    <row r="62" spans="2:16" hidden="1">
      <c r="B62" s="2342"/>
      <c r="C62" s="2098"/>
      <c r="D62" s="2098" t="s">
        <v>1616</v>
      </c>
      <c r="E62" s="2098"/>
      <c r="F62" s="2318">
        <f>F14</f>
        <v>0</v>
      </c>
      <c r="G62" s="2098"/>
      <c r="H62" s="2318">
        <f>IF(OR($F$20=$R$6,$F$20=$U$6),CO2データ!I277,IF($F$20=$S$6,CO2データ!L277,CO2データ!O277))</f>
        <v>0.88800000000000001</v>
      </c>
      <c r="I62" s="2318">
        <f>IF(OR($F$20=$R$6,$F$20=$U$6),CO2データ!J277,IF($F$20=$S$6,CO2データ!M277,CO2データ!P277))</f>
        <v>0</v>
      </c>
      <c r="J62" s="2318">
        <f>IF(OR($F$20=$R$6,$F$20=$U$6),CO2データ!K277,IF($F$20=$S$6,CO2データ!N277,CO2データ!Q277))</f>
        <v>0</v>
      </c>
      <c r="K62" s="2346"/>
      <c r="L62" s="2344">
        <f t="shared" si="8"/>
        <v>0.88800000000000001</v>
      </c>
      <c r="M62" s="2346"/>
      <c r="N62" s="2344"/>
      <c r="O62" s="2348">
        <f t="shared" si="9"/>
        <v>0.88800000000000001</v>
      </c>
      <c r="P62" t="s">
        <v>1982</v>
      </c>
    </row>
    <row r="63" spans="2:16" hidden="1">
      <c r="B63" s="2342"/>
      <c r="C63" s="2098"/>
      <c r="D63" s="2098"/>
      <c r="E63" s="2098"/>
      <c r="F63" s="2318">
        <f>$F$62</f>
        <v>0</v>
      </c>
      <c r="G63" s="2098"/>
      <c r="H63" s="2318">
        <f>IF(OR($F$20=$R$6,$F$20=$U$6),CO2データ!I278,IF($F$20=$S$6,CO2データ!L278,CO2データ!O278))</f>
        <v>0</v>
      </c>
      <c r="I63" s="2318">
        <f>IF(OR($F$20=$R$6,$F$20=$U$6),CO2データ!J278,IF($F$20=$S$6,CO2データ!M278,CO2データ!P278))</f>
        <v>0</v>
      </c>
      <c r="J63" s="2318">
        <f>IF(OR($F$20=$R$6,$F$20=$U$6),CO2データ!K278,IF($F$20=$S$6,CO2データ!N278,CO2データ!Q278))</f>
        <v>0.88800000000000001</v>
      </c>
      <c r="K63" s="2346"/>
      <c r="L63" s="2344">
        <f t="shared" si="8"/>
        <v>0</v>
      </c>
      <c r="M63" s="2346"/>
      <c r="N63" s="2344"/>
      <c r="O63" s="2348">
        <f t="shared" si="9"/>
        <v>0</v>
      </c>
      <c r="P63" t="s">
        <v>1982</v>
      </c>
    </row>
    <row r="64" spans="2:16" hidden="1">
      <c r="B64" s="2342"/>
      <c r="C64" s="2098"/>
      <c r="D64" s="2098"/>
      <c r="E64" s="2098"/>
      <c r="F64" s="2318">
        <f>$F$62</f>
        <v>0</v>
      </c>
      <c r="G64" s="2098"/>
      <c r="H64" s="2318">
        <f>IF(OR($F$20=$R$6,$F$20=$U$6),CO2データ!I279,IF($F$20=$S$6,CO2データ!L279,CO2データ!O279))</f>
        <v>1.7000000000000001E-2</v>
      </c>
      <c r="I64" s="2318">
        <f>IF(OR($F$20=$R$6,$F$20=$U$6),CO2データ!J279,IF($F$20=$S$6,CO2データ!M279,CO2データ!P279))</f>
        <v>0</v>
      </c>
      <c r="J64" s="2318">
        <f>IF(OR($F$20=$R$6,$F$20=$U$6),CO2データ!K279,IF($F$20=$S$6,CO2データ!N279,CO2データ!Q279))</f>
        <v>1.7000000000000001E-2</v>
      </c>
      <c r="K64" s="2346"/>
      <c r="L64" s="2344">
        <f t="shared" si="8"/>
        <v>1.7000000000000001E-2</v>
      </c>
      <c r="M64" s="2346"/>
      <c r="N64" s="2344"/>
      <c r="O64" s="2348">
        <f t="shared" si="9"/>
        <v>1.7000000000000001E-2</v>
      </c>
      <c r="P64" t="s">
        <v>1985</v>
      </c>
    </row>
    <row r="65" spans="2:16" hidden="1">
      <c r="B65" s="2342"/>
      <c r="C65" s="2098"/>
      <c r="D65" s="2098"/>
      <c r="E65" s="2098"/>
      <c r="F65" s="2318">
        <f>$F$62</f>
        <v>0</v>
      </c>
      <c r="G65" s="2098"/>
      <c r="H65" s="2318">
        <f>IF(OR($F$20=$R$6,$F$20=$U$6),CO2データ!I280,IF($F$20=$S$6,CO2データ!L280,CO2データ!O280))</f>
        <v>0</v>
      </c>
      <c r="I65" s="2318">
        <f>IF(OR($F$20=$R$6,$F$20=$U$6),CO2データ!J280,IF($F$20=$S$6,CO2データ!M280,CO2データ!P280))</f>
        <v>0</v>
      </c>
      <c r="J65" s="2318">
        <f>IF(OR($F$20=$R$6,$F$20=$U$6),CO2データ!K280,IF($F$20=$S$6,CO2データ!N280,CO2データ!Q280))</f>
        <v>0</v>
      </c>
      <c r="K65" s="2346"/>
      <c r="L65" s="2344">
        <f t="shared" si="8"/>
        <v>0</v>
      </c>
      <c r="M65" s="2346"/>
      <c r="N65" s="2344"/>
      <c r="O65" s="2348">
        <f t="shared" si="9"/>
        <v>0</v>
      </c>
      <c r="P65" t="s">
        <v>1985</v>
      </c>
    </row>
    <row r="66" spans="2:16" hidden="1">
      <c r="B66" s="2342"/>
      <c r="C66" s="2098"/>
      <c r="D66" s="2098"/>
      <c r="E66" s="2098"/>
      <c r="F66" s="2318">
        <f>$F$62</f>
        <v>0</v>
      </c>
      <c r="G66" s="2098"/>
      <c r="H66" s="2318">
        <f>IF(OR($F$20=$R$6,$F$20=$U$6),CO2データ!I281,IF($F$20=$S$6,CO2データ!L281,CO2データ!O281))</f>
        <v>0.11799999999999999</v>
      </c>
      <c r="I66" s="2318">
        <f>IF(OR($F$20=$R$6,$F$20=$U$6),CO2データ!J281,IF($F$20=$S$6,CO2データ!M281,CO2データ!P281))</f>
        <v>0</v>
      </c>
      <c r="J66" s="2318">
        <f>IF(OR($F$20=$R$6,$F$20=$U$6),CO2データ!K281,IF($F$20=$S$6,CO2データ!N281,CO2データ!Q281))</f>
        <v>0.11799999999999999</v>
      </c>
      <c r="K66" s="2346"/>
      <c r="L66" s="2344">
        <f t="shared" si="8"/>
        <v>0.11799999999999999</v>
      </c>
      <c r="M66" s="2346"/>
      <c r="N66" s="2344"/>
      <c r="O66" s="2348">
        <f t="shared" si="9"/>
        <v>0.11799999999999999</v>
      </c>
      <c r="P66" t="s">
        <v>1985</v>
      </c>
    </row>
    <row r="67" spans="2:16" hidden="1">
      <c r="B67" s="2342"/>
      <c r="C67" s="2098"/>
      <c r="D67" s="2098"/>
      <c r="E67" s="2098"/>
      <c r="F67" s="2318">
        <f>$F$62</f>
        <v>0</v>
      </c>
      <c r="G67" s="2098"/>
      <c r="H67" s="2318">
        <f>IF(OR($F$20=$R$6,$F$20=$U$6),CO2データ!I282,IF($F$20=$S$6,CO2データ!L282,CO2データ!O282))</f>
        <v>1.4999999999999999E-2</v>
      </c>
      <c r="I67" s="2318">
        <f>IF(OR($F$20=$R$6,$F$20=$U$6),CO2データ!J282,IF($F$20=$S$6,CO2データ!M282,CO2データ!P282))</f>
        <v>0</v>
      </c>
      <c r="J67" s="2318">
        <f>IF(OR($F$20=$R$6,$F$20=$U$6),CO2データ!K282,IF($F$20=$S$6,CO2データ!N282,CO2データ!Q282))</f>
        <v>1.4800000000000001E-2</v>
      </c>
      <c r="K67" s="2346"/>
      <c r="L67" s="2344">
        <f t="shared" si="8"/>
        <v>1.4999999999999999E-2</v>
      </c>
      <c r="M67" s="2346"/>
      <c r="N67" s="2344"/>
      <c r="O67" s="2348">
        <f t="shared" si="9"/>
        <v>1.4999999999999999E-2</v>
      </c>
      <c r="P67" t="s">
        <v>1985</v>
      </c>
    </row>
    <row r="68" spans="2:16" hidden="1">
      <c r="B68" s="2342"/>
      <c r="C68" s="2098"/>
      <c r="D68" s="2098" t="s">
        <v>372</v>
      </c>
      <c r="E68" s="2098"/>
      <c r="F68" s="2318">
        <f>F15</f>
        <v>0</v>
      </c>
      <c r="G68" s="2098"/>
      <c r="H68" s="2318">
        <f>IF(OR($F$20=$R$6,$F$20=$U$6),CO2データ!I283,IF($F$20=$S$6,CO2データ!L283,CO2データ!O283))</f>
        <v>0.77</v>
      </c>
      <c r="I68" s="2318">
        <f>IF(OR($F$20=$R$6,$F$20=$U$6),CO2データ!J283,IF($F$20=$S$6,CO2データ!M283,CO2データ!P283))</f>
        <v>0</v>
      </c>
      <c r="J68" s="2318">
        <f>IF(OR($F$20=$R$6,$F$20=$U$6),CO2データ!K283,IF($F$20=$S$6,CO2データ!N283,CO2データ!Q283))</f>
        <v>0</v>
      </c>
      <c r="K68" s="2346"/>
      <c r="L68" s="2344">
        <f t="shared" si="8"/>
        <v>0.77</v>
      </c>
      <c r="M68" s="2346"/>
      <c r="N68" s="2344"/>
      <c r="O68" s="2348">
        <f t="shared" si="9"/>
        <v>0.77</v>
      </c>
      <c r="P68" t="s">
        <v>1982</v>
      </c>
    </row>
    <row r="69" spans="2:16" hidden="1">
      <c r="B69" s="2342"/>
      <c r="C69" s="2098"/>
      <c r="D69" s="2098"/>
      <c r="E69" s="2098"/>
      <c r="F69" s="2318">
        <f>$F$68</f>
        <v>0</v>
      </c>
      <c r="G69" s="2098"/>
      <c r="H69" s="2318">
        <f>IF(OR($F$20=$R$6,$F$20=$U$6),CO2データ!I284,IF($F$20=$S$6,CO2データ!L284,CO2データ!O284))</f>
        <v>0</v>
      </c>
      <c r="I69" s="2318">
        <f>IF(OR($F$20=$R$6,$F$20=$U$6),CO2データ!J284,IF($F$20=$S$6,CO2データ!M284,CO2データ!P284))</f>
        <v>0</v>
      </c>
      <c r="J69" s="2318">
        <f>IF(OR($F$20=$R$6,$F$20=$U$6),CO2データ!K284,IF($F$20=$S$6,CO2データ!N284,CO2データ!Q284))</f>
        <v>0.77</v>
      </c>
      <c r="K69" s="2346"/>
      <c r="L69" s="2344">
        <f t="shared" si="8"/>
        <v>0</v>
      </c>
      <c r="M69" s="2346"/>
      <c r="N69" s="2344"/>
      <c r="O69" s="2348">
        <f t="shared" si="9"/>
        <v>0</v>
      </c>
      <c r="P69" t="s">
        <v>1982</v>
      </c>
    </row>
    <row r="70" spans="2:16" hidden="1">
      <c r="B70" s="2342"/>
      <c r="C70" s="2098"/>
      <c r="D70" s="2098"/>
      <c r="E70" s="2098"/>
      <c r="F70" s="2318">
        <f>$F$68</f>
        <v>0</v>
      </c>
      <c r="G70" s="2098"/>
      <c r="H70" s="2318">
        <f>IF(OR($F$20=$R$6,$F$20=$U$6),CO2データ!I285,IF($F$20=$S$6,CO2データ!L285,CO2データ!O285))</f>
        <v>0.01</v>
      </c>
      <c r="I70" s="2318">
        <f>IF(OR($F$20=$R$6,$F$20=$U$6),CO2データ!J285,IF($F$20=$S$6,CO2データ!M285,CO2データ!P285))</f>
        <v>0</v>
      </c>
      <c r="J70" s="2318">
        <f>IF(OR($F$20=$R$6,$F$20=$U$6),CO2データ!K285,IF($F$20=$S$6,CO2データ!N285,CO2データ!Q285))</f>
        <v>0.01</v>
      </c>
      <c r="K70" s="2346"/>
      <c r="L70" s="2344">
        <f t="shared" ref="L70:L91" si="10">H70-(H70-I70)*$F$21-(H70-J70)*$F$22</f>
        <v>0.01</v>
      </c>
      <c r="M70" s="2346"/>
      <c r="N70" s="2344"/>
      <c r="O70" s="2348">
        <f t="shared" ref="O70:O91" si="11">H70</f>
        <v>0.01</v>
      </c>
      <c r="P70" t="s">
        <v>1985</v>
      </c>
    </row>
    <row r="71" spans="2:16" hidden="1">
      <c r="B71" s="2342"/>
      <c r="C71" s="2098"/>
      <c r="D71" s="2098"/>
      <c r="E71" s="2098"/>
      <c r="F71" s="2318">
        <f>$F$68</f>
        <v>0</v>
      </c>
      <c r="G71" s="2098"/>
      <c r="H71" s="2318">
        <f>IF(OR($F$20=$R$6,$F$20=$U$6),CO2データ!I286,IF($F$20=$S$6,CO2データ!L286,CO2データ!O286))</f>
        <v>0</v>
      </c>
      <c r="I71" s="2318">
        <f>IF(OR($F$20=$R$6,$F$20=$U$6),CO2データ!J286,IF($F$20=$S$6,CO2データ!M286,CO2データ!P286))</f>
        <v>0</v>
      </c>
      <c r="J71" s="2318">
        <f>IF(OR($F$20=$R$6,$F$20=$U$6),CO2データ!K286,IF($F$20=$S$6,CO2データ!N286,CO2データ!Q286))</f>
        <v>0</v>
      </c>
      <c r="K71" s="2346"/>
      <c r="L71" s="2344">
        <f t="shared" si="10"/>
        <v>0</v>
      </c>
      <c r="M71" s="2346"/>
      <c r="N71" s="2344"/>
      <c r="O71" s="2348">
        <f t="shared" si="11"/>
        <v>0</v>
      </c>
      <c r="P71" t="s">
        <v>1985</v>
      </c>
    </row>
    <row r="72" spans="2:16" hidden="1">
      <c r="B72" s="2342"/>
      <c r="C72" s="2098"/>
      <c r="D72" s="2098"/>
      <c r="E72" s="2098"/>
      <c r="F72" s="2318">
        <f>$F$68</f>
        <v>0</v>
      </c>
      <c r="G72" s="2098"/>
      <c r="H72" s="2318">
        <f>IF(OR($F$20=$R$6,$F$20=$U$6),CO2データ!I287,IF($F$20=$S$6,CO2データ!L287,CO2データ!O287))</f>
        <v>0.108</v>
      </c>
      <c r="I72" s="2318">
        <f>IF(OR($F$20=$R$6,$F$20=$U$6),CO2データ!J287,IF($F$20=$S$6,CO2データ!M287,CO2データ!P287))</f>
        <v>0</v>
      </c>
      <c r="J72" s="2318">
        <f>IF(OR($F$20=$R$6,$F$20=$U$6),CO2データ!K287,IF($F$20=$S$6,CO2データ!N287,CO2データ!Q287))</f>
        <v>0.108</v>
      </c>
      <c r="K72" s="2346"/>
      <c r="L72" s="2344">
        <f t="shared" si="10"/>
        <v>0.108</v>
      </c>
      <c r="M72" s="2346"/>
      <c r="N72" s="2344"/>
      <c r="O72" s="2348">
        <f t="shared" si="11"/>
        <v>0.108</v>
      </c>
      <c r="P72" t="s">
        <v>1985</v>
      </c>
    </row>
    <row r="73" spans="2:16" hidden="1">
      <c r="B73" s="2342"/>
      <c r="C73" s="2098"/>
      <c r="D73" s="2098"/>
      <c r="E73" s="2098"/>
      <c r="F73" s="2318">
        <f>$F$68</f>
        <v>0</v>
      </c>
      <c r="G73" s="2098"/>
      <c r="H73" s="2318">
        <f>IF(OR($F$20=$R$6,$F$20=$U$6),CO2データ!I288,IF($F$20=$S$6,CO2データ!L288,CO2データ!O288))</f>
        <v>8.9999999999999993E-3</v>
      </c>
      <c r="I73" s="2318">
        <f>IF(OR($F$20=$R$6,$F$20=$U$6),CO2データ!J288,IF($F$20=$S$6,CO2データ!M288,CO2データ!P288))</f>
        <v>0</v>
      </c>
      <c r="J73" s="2318">
        <f>IF(OR($F$20=$R$6,$F$20=$U$6),CO2データ!K288,IF($F$20=$S$6,CO2データ!N288,CO2データ!Q288))</f>
        <v>9.1500000000000001E-3</v>
      </c>
      <c r="K73" s="2346"/>
      <c r="L73" s="2344">
        <f t="shared" si="10"/>
        <v>8.9999999999999993E-3</v>
      </c>
      <c r="M73" s="2346"/>
      <c r="N73" s="2344"/>
      <c r="O73" s="2348">
        <f t="shared" si="11"/>
        <v>8.9999999999999993E-3</v>
      </c>
      <c r="P73" t="s">
        <v>1985</v>
      </c>
    </row>
    <row r="74" spans="2:16" hidden="1">
      <c r="B74" s="2342"/>
      <c r="C74" s="2098"/>
      <c r="D74" s="2098" t="s">
        <v>1618</v>
      </c>
      <c r="E74" s="2098"/>
      <c r="F74" s="2318">
        <f>F16</f>
        <v>0</v>
      </c>
      <c r="G74" s="2098"/>
      <c r="H74" s="2318">
        <f>IF(OR($F$20=$R$6,$F$20=$U$6),CO2データ!I289,IF($F$20=$S$6,CO2データ!L289,CO2データ!O289))</f>
        <v>0.76600000000000001</v>
      </c>
      <c r="I74" s="2318">
        <f>IF(OR($F$20=$R$6,$F$20=$U$6),CO2データ!J289,IF($F$20=$S$6,CO2データ!M289,CO2データ!P289))</f>
        <v>0</v>
      </c>
      <c r="J74" s="2318">
        <f>IF(OR($F$20=$R$6,$F$20=$U$6),CO2データ!K289,IF($F$20=$S$6,CO2データ!N289,CO2データ!Q289))</f>
        <v>0</v>
      </c>
      <c r="K74" s="2346"/>
      <c r="L74" s="2344">
        <f t="shared" si="10"/>
        <v>0.76600000000000001</v>
      </c>
      <c r="M74" s="2346"/>
      <c r="N74" s="2344"/>
      <c r="O74" s="2348">
        <f t="shared" si="11"/>
        <v>0.76600000000000001</v>
      </c>
      <c r="P74" t="s">
        <v>1982</v>
      </c>
    </row>
    <row r="75" spans="2:16" hidden="1">
      <c r="B75" s="2342"/>
      <c r="C75" s="2098"/>
      <c r="D75" s="2098"/>
      <c r="E75" s="2098"/>
      <c r="F75" s="2318">
        <f>$F$74</f>
        <v>0</v>
      </c>
      <c r="G75" s="2098"/>
      <c r="H75" s="2318">
        <f>IF(OR($F$20=$R$6,$F$20=$U$6),CO2データ!I290,IF($F$20=$S$6,CO2データ!L290,CO2データ!O290))</f>
        <v>0</v>
      </c>
      <c r="I75" s="2318">
        <f>IF(OR($F$20=$R$6,$F$20=$U$6),CO2データ!J290,IF($F$20=$S$6,CO2データ!M290,CO2データ!P290))</f>
        <v>0</v>
      </c>
      <c r="J75" s="2318">
        <f>IF(OR($F$20=$R$6,$F$20=$U$6),CO2データ!K290,IF($F$20=$S$6,CO2データ!N290,CO2データ!Q290))</f>
        <v>0.76600000000000001</v>
      </c>
      <c r="K75" s="2346"/>
      <c r="L75" s="2344">
        <f t="shared" si="10"/>
        <v>0</v>
      </c>
      <c r="M75" s="2346"/>
      <c r="N75" s="2344"/>
      <c r="O75" s="2348">
        <f t="shared" si="11"/>
        <v>0</v>
      </c>
      <c r="P75" t="s">
        <v>1982</v>
      </c>
    </row>
    <row r="76" spans="2:16" hidden="1">
      <c r="B76" s="2342"/>
      <c r="C76" s="2098"/>
      <c r="D76" s="2098"/>
      <c r="E76" s="2098"/>
      <c r="F76" s="2318">
        <f>$F$74</f>
        <v>0</v>
      </c>
      <c r="G76" s="2098"/>
      <c r="H76" s="2318">
        <f>IF(OR($F$20=$R$6,$F$20=$U$6),CO2データ!I291,IF($F$20=$S$6,CO2データ!L291,CO2データ!O291))</f>
        <v>1.2E-2</v>
      </c>
      <c r="I76" s="2318">
        <f>IF(OR($F$20=$R$6,$F$20=$U$6),CO2データ!J291,IF($F$20=$S$6,CO2データ!M291,CO2データ!P291))</f>
        <v>0</v>
      </c>
      <c r="J76" s="2318">
        <f>IF(OR($F$20=$R$6,$F$20=$U$6),CO2データ!K291,IF($F$20=$S$6,CO2データ!N291,CO2データ!Q291))</f>
        <v>1.2E-2</v>
      </c>
      <c r="K76" s="2346"/>
      <c r="L76" s="2344">
        <f t="shared" si="10"/>
        <v>1.2E-2</v>
      </c>
      <c r="M76" s="2346"/>
      <c r="N76" s="2344"/>
      <c r="O76" s="2348">
        <f t="shared" si="11"/>
        <v>1.2E-2</v>
      </c>
      <c r="P76" t="s">
        <v>1985</v>
      </c>
    </row>
    <row r="77" spans="2:16" hidden="1">
      <c r="B77" s="2342"/>
      <c r="C77" s="2098"/>
      <c r="D77" s="2098"/>
      <c r="E77" s="2098"/>
      <c r="F77" s="2318">
        <f>$F$74</f>
        <v>0</v>
      </c>
      <c r="G77" s="2098"/>
      <c r="H77" s="2318">
        <f>IF(OR($F$20=$R$6,$F$20=$U$6),CO2データ!I292,IF($F$20=$S$6,CO2データ!L292,CO2データ!O292))</f>
        <v>0</v>
      </c>
      <c r="I77" s="2318">
        <f>IF(OR($F$20=$R$6,$F$20=$U$6),CO2データ!J292,IF($F$20=$S$6,CO2データ!M292,CO2データ!P292))</f>
        <v>0</v>
      </c>
      <c r="J77" s="2318">
        <f>IF(OR($F$20=$R$6,$F$20=$U$6),CO2データ!K292,IF($F$20=$S$6,CO2データ!N292,CO2データ!Q292))</f>
        <v>0</v>
      </c>
      <c r="K77" s="2346"/>
      <c r="L77" s="2344">
        <f t="shared" si="10"/>
        <v>0</v>
      </c>
      <c r="M77" s="2346"/>
      <c r="N77" s="2344"/>
      <c r="O77" s="2348">
        <f t="shared" si="11"/>
        <v>0</v>
      </c>
      <c r="P77" t="s">
        <v>1985</v>
      </c>
    </row>
    <row r="78" spans="2:16" hidden="1">
      <c r="B78" s="2342"/>
      <c r="C78" s="2098"/>
      <c r="D78" s="2098"/>
      <c r="E78" s="2098"/>
      <c r="F78" s="2318">
        <f>$F$74</f>
        <v>0</v>
      </c>
      <c r="G78" s="2098"/>
      <c r="H78" s="2318">
        <f>IF(OR($F$20=$R$6,$F$20=$U$6),CO2データ!I293,IF($F$20=$S$6,CO2データ!L293,CO2データ!O293))</f>
        <v>9.6000000000000002E-2</v>
      </c>
      <c r="I78" s="2318">
        <f>IF(OR($F$20=$R$6,$F$20=$U$6),CO2データ!J293,IF($F$20=$S$6,CO2データ!M293,CO2データ!P293))</f>
        <v>0</v>
      </c>
      <c r="J78" s="2318">
        <f>IF(OR($F$20=$R$6,$F$20=$U$6),CO2データ!K293,IF($F$20=$S$6,CO2データ!N293,CO2データ!Q293))</f>
        <v>9.6000000000000002E-2</v>
      </c>
      <c r="K78" s="2346"/>
      <c r="L78" s="2344">
        <f t="shared" si="10"/>
        <v>9.6000000000000002E-2</v>
      </c>
      <c r="M78" s="2346"/>
      <c r="N78" s="2344"/>
      <c r="O78" s="2348">
        <f t="shared" si="11"/>
        <v>9.6000000000000002E-2</v>
      </c>
      <c r="P78" t="s">
        <v>1985</v>
      </c>
    </row>
    <row r="79" spans="2:16" hidden="1">
      <c r="B79" s="2342"/>
      <c r="C79" s="2098"/>
      <c r="D79" s="2098"/>
      <c r="E79" s="2098"/>
      <c r="F79" s="2318">
        <f>$F$74</f>
        <v>0</v>
      </c>
      <c r="G79" s="2098"/>
      <c r="H79" s="2318">
        <f>IF(OR($F$20=$R$6,$F$20=$U$6),CO2データ!I294,IF($F$20=$S$6,CO2データ!L294,CO2データ!O294))</f>
        <v>1.2999999999999999E-2</v>
      </c>
      <c r="I79" s="2318">
        <f>IF(OR($F$20=$R$6,$F$20=$U$6),CO2データ!J294,IF($F$20=$S$6,CO2データ!M294,CO2データ!P294))</f>
        <v>0</v>
      </c>
      <c r="J79" s="2318">
        <f>IF(OR($F$20=$R$6,$F$20=$U$6),CO2データ!K294,IF($F$20=$S$6,CO2データ!N294,CO2データ!Q294))</f>
        <v>1.2999999999999999E-2</v>
      </c>
      <c r="K79" s="2346"/>
      <c r="L79" s="2344">
        <f t="shared" si="10"/>
        <v>1.2999999999999999E-2</v>
      </c>
      <c r="M79" s="2346"/>
      <c r="N79" s="2344"/>
      <c r="O79" s="2348">
        <f t="shared" si="11"/>
        <v>1.2999999999999999E-2</v>
      </c>
      <c r="P79" t="s">
        <v>1985</v>
      </c>
    </row>
    <row r="80" spans="2:16" hidden="1">
      <c r="B80" s="2342"/>
      <c r="C80" s="2098"/>
      <c r="D80" s="2098" t="s">
        <v>545</v>
      </c>
      <c r="E80" s="2098"/>
      <c r="F80" s="2318">
        <f>F17</f>
        <v>0</v>
      </c>
      <c r="G80" s="2098"/>
      <c r="H80" s="2318">
        <f>IF(OR($F$20=$R$6,$F$20=$U$6),CO2データ!I295,IF($F$20=$S$6,CO2データ!L295,CO2データ!O295))</f>
        <v>0.999</v>
      </c>
      <c r="I80" s="2318">
        <f>IF(OR($F$20=$R$6,$F$20=$U$6),CO2データ!J295,IF($F$20=$S$6,CO2データ!M295,CO2データ!P295))</f>
        <v>0</v>
      </c>
      <c r="J80" s="2318">
        <f>IF(OR($F$20=$R$6,$F$20=$U$6),CO2データ!K295,IF($F$20=$S$6,CO2データ!N295,CO2データ!Q295))</f>
        <v>0</v>
      </c>
      <c r="K80" s="2346"/>
      <c r="L80" s="2344">
        <f t="shared" si="10"/>
        <v>0.999</v>
      </c>
      <c r="M80" s="2346"/>
      <c r="N80" s="2344"/>
      <c r="O80" s="2348">
        <f t="shared" si="11"/>
        <v>0.999</v>
      </c>
      <c r="P80" t="s">
        <v>1982</v>
      </c>
    </row>
    <row r="81" spans="2:16" hidden="1">
      <c r="B81" s="2342"/>
      <c r="C81" s="2098"/>
      <c r="D81" s="2098"/>
      <c r="E81" s="2098"/>
      <c r="F81" s="2318">
        <f>$F$80</f>
        <v>0</v>
      </c>
      <c r="G81" s="2098"/>
      <c r="H81" s="2318">
        <f>IF(OR($F$20=$R$6,$F$20=$U$6),CO2データ!I296,IF($F$20=$S$6,CO2データ!L296,CO2データ!O296))</f>
        <v>0</v>
      </c>
      <c r="I81" s="2318">
        <f>IF(OR($F$20=$R$6,$F$20=$U$6),CO2データ!J296,IF($F$20=$S$6,CO2データ!M296,CO2データ!P296))</f>
        <v>0</v>
      </c>
      <c r="J81" s="2318">
        <f>IF(OR($F$20=$R$6,$F$20=$U$6),CO2データ!K296,IF($F$20=$S$6,CO2データ!N296,CO2データ!Q296))</f>
        <v>0.999</v>
      </c>
      <c r="K81" s="2346"/>
      <c r="L81" s="2344">
        <f t="shared" si="10"/>
        <v>0</v>
      </c>
      <c r="M81" s="2346"/>
      <c r="N81" s="2344"/>
      <c r="O81" s="2348">
        <f t="shared" si="11"/>
        <v>0</v>
      </c>
      <c r="P81" t="s">
        <v>1982</v>
      </c>
    </row>
    <row r="82" spans="2:16" hidden="1">
      <c r="B82" s="2342"/>
      <c r="C82" s="2098"/>
      <c r="D82" s="2098"/>
      <c r="E82" s="2098"/>
      <c r="F82" s="2318">
        <f>$F$80</f>
        <v>0</v>
      </c>
      <c r="G82" s="2098"/>
      <c r="H82" s="2318">
        <f>IF(OR($F$20=$R$6,$F$20=$U$6),CO2データ!I297,IF($F$20=$S$6,CO2データ!L297,CO2データ!O297))</f>
        <v>4.0000000000000001E-3</v>
      </c>
      <c r="I82" s="2318">
        <f>IF(OR($F$20=$R$6,$F$20=$U$6),CO2データ!J297,IF($F$20=$S$6,CO2データ!M297,CO2データ!P297))</f>
        <v>0</v>
      </c>
      <c r="J82" s="2318">
        <f>IF(OR($F$20=$R$6,$F$20=$U$6),CO2データ!K297,IF($F$20=$S$6,CO2データ!N297,CO2データ!Q297))</f>
        <v>4.0000000000000001E-3</v>
      </c>
      <c r="K82" s="2346"/>
      <c r="L82" s="2344">
        <f t="shared" si="10"/>
        <v>4.0000000000000001E-3</v>
      </c>
      <c r="M82" s="2346"/>
      <c r="N82" s="2344"/>
      <c r="O82" s="2348">
        <f t="shared" si="11"/>
        <v>4.0000000000000001E-3</v>
      </c>
      <c r="P82" t="s">
        <v>1985</v>
      </c>
    </row>
    <row r="83" spans="2:16" hidden="1">
      <c r="B83" s="2342"/>
      <c r="C83" s="2098"/>
      <c r="D83" s="2098"/>
      <c r="E83" s="2098"/>
      <c r="F83" s="2318">
        <f>$F$80</f>
        <v>0</v>
      </c>
      <c r="G83" s="2098"/>
      <c r="H83" s="2318">
        <f>IF(OR($F$20=$R$6,$F$20=$U$6),CO2データ!I298,IF($F$20=$S$6,CO2データ!L298,CO2データ!O298))</f>
        <v>0</v>
      </c>
      <c r="I83" s="2318">
        <f>IF(OR($F$20=$R$6,$F$20=$U$6),CO2データ!J298,IF($F$20=$S$6,CO2データ!M298,CO2データ!P298))</f>
        <v>0</v>
      </c>
      <c r="J83" s="2318">
        <f>IF(OR($F$20=$R$6,$F$20=$U$6),CO2データ!K298,IF($F$20=$S$6,CO2データ!N298,CO2データ!Q298))</f>
        <v>0</v>
      </c>
      <c r="K83" s="2346"/>
      <c r="L83" s="2344">
        <f t="shared" si="10"/>
        <v>0</v>
      </c>
      <c r="M83" s="2346"/>
      <c r="N83" s="2344"/>
      <c r="O83" s="2348">
        <f t="shared" si="11"/>
        <v>0</v>
      </c>
      <c r="P83" t="s">
        <v>1985</v>
      </c>
    </row>
    <row r="84" spans="2:16" hidden="1">
      <c r="B84" s="2342"/>
      <c r="C84" s="2098"/>
      <c r="D84" s="2098"/>
      <c r="E84" s="2098"/>
      <c r="F84" s="2318">
        <f>$F$80</f>
        <v>0</v>
      </c>
      <c r="G84" s="2098"/>
      <c r="H84" s="2318">
        <f>IF(OR($F$20=$R$6,$F$20=$U$6),CO2データ!I299,IF($F$20=$S$6,CO2データ!L299,CO2データ!O299))</f>
        <v>0.111</v>
      </c>
      <c r="I84" s="2318">
        <f>IF(OR($F$20=$R$6,$F$20=$U$6),CO2データ!J299,IF($F$20=$S$6,CO2データ!M299,CO2データ!P299))</f>
        <v>0</v>
      </c>
      <c r="J84" s="2318">
        <f>IF(OR($F$20=$R$6,$F$20=$U$6),CO2データ!K299,IF($F$20=$S$6,CO2データ!N299,CO2データ!Q299))</f>
        <v>0.111</v>
      </c>
      <c r="K84" s="2346"/>
      <c r="L84" s="2344">
        <f t="shared" si="10"/>
        <v>0.111</v>
      </c>
      <c r="M84" s="2346"/>
      <c r="N84" s="2344"/>
      <c r="O84" s="2348">
        <f t="shared" si="11"/>
        <v>0.111</v>
      </c>
      <c r="P84" t="s">
        <v>1985</v>
      </c>
    </row>
    <row r="85" spans="2:16" hidden="1">
      <c r="B85" s="2342"/>
      <c r="C85" s="2098"/>
      <c r="D85" s="2098"/>
      <c r="E85" s="2098"/>
      <c r="F85" s="2318">
        <f>$F$80</f>
        <v>0</v>
      </c>
      <c r="G85" s="2098"/>
      <c r="H85" s="2318">
        <f>IF(OR($F$20=$R$6,$F$20=$U$6),CO2データ!I300,IF($F$20=$S$6,CO2データ!L300,CO2データ!O300))</f>
        <v>1.4E-2</v>
      </c>
      <c r="I85" s="2318">
        <f>IF(OR($F$20=$R$6,$F$20=$U$6),CO2データ!J300,IF($F$20=$S$6,CO2データ!M300,CO2データ!P300))</f>
        <v>0</v>
      </c>
      <c r="J85" s="2318">
        <f>IF(OR($F$20=$R$6,$F$20=$U$6),CO2データ!K300,IF($F$20=$S$6,CO2データ!N300,CO2データ!Q300))</f>
        <v>1.434E-2</v>
      </c>
      <c r="K85" s="2346"/>
      <c r="L85" s="2344">
        <f t="shared" si="10"/>
        <v>1.4E-2</v>
      </c>
      <c r="M85" s="2346"/>
      <c r="N85" s="2344"/>
      <c r="O85" s="2348">
        <f t="shared" si="11"/>
        <v>1.4E-2</v>
      </c>
      <c r="P85" t="s">
        <v>1985</v>
      </c>
    </row>
    <row r="86" spans="2:16" hidden="1">
      <c r="B86" s="2342"/>
      <c r="C86" s="2098"/>
      <c r="D86" s="2098" t="s">
        <v>1714</v>
      </c>
      <c r="E86" s="2098"/>
      <c r="F86" s="2318">
        <f>F18</f>
        <v>1.5748031496062992E-2</v>
      </c>
      <c r="G86" s="2098"/>
      <c r="H86" s="2318">
        <f>IF(OR($F$20=$R$6,$F$20=$U$6),CO2データ!I301,IF($F$20=$S$6,CO2データ!L301,CO2データ!O301))</f>
        <v>0.73399999999999999</v>
      </c>
      <c r="I86" s="2318">
        <f>IF(OR($F$20=$R$6,$F$20=$U$6),CO2データ!J301,IF($F$20=$S$6,CO2データ!M301,CO2データ!P301))</f>
        <v>0</v>
      </c>
      <c r="J86" s="2318">
        <f>IF(OR($F$20=$R$6,$F$20=$U$6),CO2データ!K301,IF($F$20=$S$6,CO2データ!N301,CO2データ!Q301))</f>
        <v>0</v>
      </c>
      <c r="K86" s="2346"/>
      <c r="L86" s="2344">
        <f t="shared" si="10"/>
        <v>0.73399999999999999</v>
      </c>
      <c r="M86" s="2346"/>
      <c r="N86" s="2344"/>
      <c r="O86" s="2348">
        <f t="shared" si="11"/>
        <v>0.73399999999999999</v>
      </c>
      <c r="P86" t="s">
        <v>1982</v>
      </c>
    </row>
    <row r="87" spans="2:16" hidden="1">
      <c r="B87" s="2342"/>
      <c r="C87" s="2098"/>
      <c r="D87" s="2098"/>
      <c r="E87" s="2098"/>
      <c r="F87" s="2318">
        <f>$F$86</f>
        <v>1.5748031496062992E-2</v>
      </c>
      <c r="G87" s="2098"/>
      <c r="H87" s="2318">
        <f>IF(OR($F$20=$R$6,$F$20=$U$6),CO2データ!I302,IF($F$20=$S$6,CO2データ!L302,CO2データ!O302))</f>
        <v>0</v>
      </c>
      <c r="I87" s="2318">
        <f>IF(OR($F$20=$R$6,$F$20=$U$6),CO2データ!J302,IF($F$20=$S$6,CO2データ!M302,CO2データ!P302))</f>
        <v>0</v>
      </c>
      <c r="J87" s="2318">
        <f>IF(OR($F$20=$R$6,$F$20=$U$6),CO2データ!K302,IF($F$20=$S$6,CO2データ!N302,CO2データ!Q302))</f>
        <v>0.73399999999999999</v>
      </c>
      <c r="K87" s="2346"/>
      <c r="L87" s="2344">
        <f t="shared" si="10"/>
        <v>0</v>
      </c>
      <c r="M87" s="2346"/>
      <c r="N87" s="2344"/>
      <c r="O87" s="2348">
        <f t="shared" si="11"/>
        <v>0</v>
      </c>
      <c r="P87" t="s">
        <v>1982</v>
      </c>
    </row>
    <row r="88" spans="2:16" hidden="1">
      <c r="B88" s="2342"/>
      <c r="C88" s="2098"/>
      <c r="D88" s="2098"/>
      <c r="E88" s="2098"/>
      <c r="F88" s="2318">
        <f>$F$86</f>
        <v>1.5748031496062992E-2</v>
      </c>
      <c r="G88" s="2098"/>
      <c r="H88" s="2318">
        <f>IF(OR($F$20=$R$6,$F$20=$U$6),CO2データ!I303,IF($F$20=$S$6,CO2データ!L303,CO2データ!O303))</f>
        <v>1.2E-2</v>
      </c>
      <c r="I88" s="2318">
        <f>IF(OR($F$20=$R$6,$F$20=$U$6),CO2データ!J303,IF($F$20=$S$6,CO2データ!M303,CO2データ!P303))</f>
        <v>0</v>
      </c>
      <c r="J88" s="2318">
        <f>IF(OR($F$20=$R$6,$F$20=$U$6),CO2データ!K303,IF($F$20=$S$6,CO2データ!N303,CO2データ!Q303))</f>
        <v>1.2E-2</v>
      </c>
      <c r="K88" s="2346"/>
      <c r="L88" s="2344">
        <f t="shared" si="10"/>
        <v>1.2E-2</v>
      </c>
      <c r="M88" s="2346"/>
      <c r="N88" s="2344"/>
      <c r="O88" s="2348">
        <f t="shared" si="11"/>
        <v>1.2E-2</v>
      </c>
      <c r="P88" t="s">
        <v>1985</v>
      </c>
    </row>
    <row r="89" spans="2:16" hidden="1">
      <c r="B89" s="2342"/>
      <c r="C89" s="2098"/>
      <c r="D89" s="2098"/>
      <c r="E89" s="2098"/>
      <c r="F89" s="2318">
        <f>$F$86</f>
        <v>1.5748031496062992E-2</v>
      </c>
      <c r="G89" s="2098"/>
      <c r="H89" s="2318">
        <f>IF(OR($F$20=$R$6,$F$20=$U$6),CO2データ!I304,IF($F$20=$S$6,CO2データ!L304,CO2データ!O304))</f>
        <v>0</v>
      </c>
      <c r="I89" s="2318">
        <f>IF(OR($F$20=$R$6,$F$20=$U$6),CO2データ!J304,IF($F$20=$S$6,CO2データ!M304,CO2データ!P304))</f>
        <v>0</v>
      </c>
      <c r="J89" s="2318">
        <f>IF(OR($F$20=$R$6,$F$20=$U$6),CO2データ!K304,IF($F$20=$S$6,CO2データ!N304,CO2データ!Q304))</f>
        <v>0</v>
      </c>
      <c r="K89" s="2346"/>
      <c r="L89" s="2344">
        <f t="shared" si="10"/>
        <v>0</v>
      </c>
      <c r="M89" s="2346"/>
      <c r="N89" s="2344"/>
      <c r="O89" s="2348">
        <f t="shared" si="11"/>
        <v>0</v>
      </c>
      <c r="P89" t="s">
        <v>1985</v>
      </c>
    </row>
    <row r="90" spans="2:16" hidden="1">
      <c r="B90" s="2342"/>
      <c r="C90" s="2098"/>
      <c r="D90" s="2098"/>
      <c r="E90" s="2098"/>
      <c r="F90" s="2318">
        <f>$F$86</f>
        <v>1.5748031496062992E-2</v>
      </c>
      <c r="G90" s="2098"/>
      <c r="H90" s="2318">
        <f>IF(OR($F$20=$R$6,$F$20=$U$6),CO2データ!I305,IF($F$20=$S$6,CO2データ!L305,CO2データ!O305))</f>
        <v>0.1</v>
      </c>
      <c r="I90" s="2318">
        <f>IF(OR($F$20=$R$6,$F$20=$U$6),CO2データ!J305,IF($F$20=$S$6,CO2データ!M305,CO2データ!P305))</f>
        <v>0</v>
      </c>
      <c r="J90" s="2318">
        <f>IF(OR($F$20=$R$6,$F$20=$U$6),CO2データ!K305,IF($F$20=$S$6,CO2データ!N305,CO2データ!Q305))</f>
        <v>0.1</v>
      </c>
      <c r="K90" s="2346"/>
      <c r="L90" s="2344">
        <f t="shared" si="10"/>
        <v>0.1</v>
      </c>
      <c r="M90" s="2346"/>
      <c r="N90" s="2344"/>
      <c r="O90" s="2348">
        <f t="shared" si="11"/>
        <v>0.1</v>
      </c>
      <c r="P90" t="s">
        <v>1985</v>
      </c>
    </row>
    <row r="91" spans="2:16" hidden="1">
      <c r="B91" s="2342"/>
      <c r="C91" s="2098"/>
      <c r="D91" s="2098"/>
      <c r="E91" s="2098"/>
      <c r="F91" s="2318">
        <f>$F$86</f>
        <v>1.5748031496062992E-2</v>
      </c>
      <c r="G91" s="2098"/>
      <c r="H91" s="2318">
        <f>IF(OR($F$20=$R$6,$F$20=$U$6),CO2データ!I306,IF($F$20=$S$6,CO2データ!L306,CO2データ!O306))</f>
        <v>1.2999999999999999E-2</v>
      </c>
      <c r="I91" s="2318">
        <f>IF(OR($F$20=$R$6,$F$20=$U$6),CO2データ!J306,IF($F$20=$S$6,CO2データ!M306,CO2データ!P306))</f>
        <v>0</v>
      </c>
      <c r="J91" s="2318">
        <f>IF(OR($F$20=$R$6,$F$20=$U$6),CO2データ!K306,IF($F$20=$S$6,CO2データ!N306,CO2データ!Q306))</f>
        <v>1.329E-2</v>
      </c>
      <c r="K91" s="2346"/>
      <c r="L91" s="2344">
        <f t="shared" si="10"/>
        <v>1.2999999999999999E-2</v>
      </c>
      <c r="M91" s="2346"/>
      <c r="N91" s="2344"/>
      <c r="O91" s="2348">
        <f t="shared" si="11"/>
        <v>1.2999999999999999E-2</v>
      </c>
      <c r="P91" t="s">
        <v>1985</v>
      </c>
    </row>
    <row r="92" spans="2:16" ht="14.25" hidden="1" thickBot="1">
      <c r="B92" s="2331"/>
      <c r="C92" s="2096"/>
      <c r="D92" s="2096"/>
      <c r="E92" s="2096"/>
      <c r="F92" s="2096"/>
      <c r="G92" s="2096"/>
      <c r="H92" s="2096"/>
      <c r="I92" s="2096"/>
      <c r="J92" s="2096"/>
      <c r="K92" s="2096"/>
      <c r="L92" s="2096"/>
      <c r="M92" s="2096"/>
      <c r="N92" s="2096"/>
      <c r="O92" s="2230"/>
    </row>
    <row r="93" spans="2:16" hidden="1">
      <c r="B93" s="2342"/>
      <c r="C93" s="2098" t="s">
        <v>1599</v>
      </c>
      <c r="D93" s="2098" t="s">
        <v>374</v>
      </c>
      <c r="E93" s="2098"/>
      <c r="F93" s="2096"/>
      <c r="G93" s="2096"/>
      <c r="H93" s="2096"/>
      <c r="I93" s="2096"/>
      <c r="J93" s="2096"/>
      <c r="K93" s="2346"/>
      <c r="L93" s="2349">
        <f t="shared" ref="L93:L98" si="12">$F38*L38+$F44*L44+$F50*L50+$F56*L56+$F62*L62+$F68*L68+$F74*L74+$F80*L80+$F86*L86</f>
        <v>0.77140157480314975</v>
      </c>
      <c r="M93" s="2346"/>
      <c r="N93" s="2350"/>
      <c r="O93" s="2349">
        <f t="shared" ref="O93:O98" si="13">$F38*O38+$F44*O44+$F50*O50+$F56*O56+$F62*O62+$F68*O68+$F74*O74+$F80*O80+$F86*O86</f>
        <v>0.77140157480314975</v>
      </c>
      <c r="P93" t="s">
        <v>1982</v>
      </c>
    </row>
    <row r="94" spans="2:16" hidden="1">
      <c r="B94" s="2342"/>
      <c r="C94" s="2098"/>
      <c r="D94" s="2098"/>
      <c r="E94" s="2098"/>
      <c r="F94" s="2096"/>
      <c r="G94" s="2096"/>
      <c r="H94" s="2096"/>
      <c r="I94" s="2096"/>
      <c r="J94" s="2096"/>
      <c r="K94" s="2346"/>
      <c r="L94" s="2351">
        <f t="shared" si="12"/>
        <v>0</v>
      </c>
      <c r="M94" s="2346"/>
      <c r="N94" s="2350"/>
      <c r="O94" s="2351">
        <f t="shared" si="13"/>
        <v>0</v>
      </c>
      <c r="P94" t="s">
        <v>1982</v>
      </c>
    </row>
    <row r="95" spans="2:16" hidden="1">
      <c r="B95" s="2342"/>
      <c r="C95" s="2098"/>
      <c r="D95" s="2098"/>
      <c r="E95" s="2098"/>
      <c r="F95" s="2096"/>
      <c r="G95" s="2096"/>
      <c r="H95" s="2096"/>
      <c r="I95" s="2096"/>
      <c r="J95" s="2096"/>
      <c r="K95" s="2346"/>
      <c r="L95" s="2351">
        <f t="shared" si="12"/>
        <v>3.7590551181102362E-2</v>
      </c>
      <c r="M95" s="2346"/>
      <c r="N95" s="2350"/>
      <c r="O95" s="2351">
        <f t="shared" si="13"/>
        <v>3.7590551181102362E-2</v>
      </c>
      <c r="P95" t="s">
        <v>1985</v>
      </c>
    </row>
    <row r="96" spans="2:16" hidden="1">
      <c r="B96" s="2342"/>
      <c r="C96" s="2098"/>
      <c r="D96" s="2098"/>
      <c r="E96" s="2098"/>
      <c r="F96" s="2096"/>
      <c r="G96" s="2096"/>
      <c r="H96" s="2096"/>
      <c r="I96" s="2096"/>
      <c r="J96" s="2096"/>
      <c r="K96" s="2346"/>
      <c r="L96" s="2351">
        <f t="shared" si="12"/>
        <v>0</v>
      </c>
      <c r="M96" s="2346"/>
      <c r="N96" s="2350"/>
      <c r="O96" s="2351">
        <f t="shared" si="13"/>
        <v>0</v>
      </c>
      <c r="P96" t="s">
        <v>1985</v>
      </c>
    </row>
    <row r="97" spans="2:16" hidden="1">
      <c r="B97" s="2342"/>
      <c r="C97" s="2098"/>
      <c r="D97" s="2098"/>
      <c r="E97" s="2098"/>
      <c r="F97" s="2096"/>
      <c r="G97" s="2096"/>
      <c r="H97" s="2096"/>
      <c r="I97" s="2096"/>
      <c r="J97" s="2096"/>
      <c r="K97" s="2346"/>
      <c r="L97" s="2351">
        <f t="shared" si="12"/>
        <v>0.10295275590551181</v>
      </c>
      <c r="M97" s="2346"/>
      <c r="N97" s="2350"/>
      <c r="O97" s="2351">
        <f t="shared" si="13"/>
        <v>0.10295275590551181</v>
      </c>
      <c r="P97" t="s">
        <v>1985</v>
      </c>
    </row>
    <row r="98" spans="2:16" ht="14.25" hidden="1" thickBot="1">
      <c r="B98" s="2342"/>
      <c r="C98" s="2098"/>
      <c r="D98" s="2098"/>
      <c r="E98" s="2098"/>
      <c r="F98" s="2096"/>
      <c r="G98" s="2096"/>
      <c r="H98" s="2096"/>
      <c r="I98" s="2096"/>
      <c r="J98" s="2096"/>
      <c r="K98" s="2346"/>
      <c r="L98" s="2352">
        <f t="shared" si="12"/>
        <v>1.2999999999999999E-2</v>
      </c>
      <c r="M98" s="2346"/>
      <c r="N98" s="2350"/>
      <c r="O98" s="2352">
        <f t="shared" si="13"/>
        <v>1.2999999999999999E-2</v>
      </c>
      <c r="P98" t="s">
        <v>1985</v>
      </c>
    </row>
    <row r="99" spans="2:16" hidden="1">
      <c r="B99" s="2331"/>
      <c r="C99" s="2096"/>
      <c r="D99" s="2096"/>
      <c r="E99" s="2096"/>
      <c r="F99" s="2096"/>
      <c r="G99" s="2096"/>
      <c r="H99" s="2096"/>
      <c r="I99" s="2096"/>
      <c r="J99" s="2096"/>
      <c r="K99" s="2096"/>
      <c r="L99" s="2096"/>
      <c r="M99" s="2096"/>
      <c r="N99" s="2096"/>
      <c r="O99" s="2230"/>
    </row>
    <row r="100" spans="2:16" ht="16.5">
      <c r="B100" s="832" t="s">
        <v>1600</v>
      </c>
      <c r="C100" s="841"/>
      <c r="D100" s="843"/>
      <c r="E100" s="841"/>
      <c r="F100" s="2096"/>
      <c r="G100" s="2096"/>
      <c r="H100" s="833"/>
      <c r="I100" s="834"/>
      <c r="J100" s="834"/>
      <c r="K100" s="834"/>
      <c r="L100" s="834"/>
      <c r="M100" s="834"/>
      <c r="N100" s="834"/>
      <c r="O100" s="845"/>
    </row>
    <row r="101" spans="2:16" ht="14.25">
      <c r="B101" s="832"/>
      <c r="C101" s="836" t="s">
        <v>1601</v>
      </c>
      <c r="D101" s="843"/>
      <c r="E101" s="841"/>
      <c r="F101" s="2096"/>
      <c r="G101" s="2096"/>
      <c r="H101" s="833"/>
      <c r="I101" s="834"/>
      <c r="J101" s="833" t="s">
        <v>1595</v>
      </c>
      <c r="K101" s="834"/>
      <c r="L101" s="833" t="s">
        <v>1595</v>
      </c>
      <c r="M101" s="834"/>
      <c r="N101" s="834"/>
      <c r="O101" s="835" t="s">
        <v>1595</v>
      </c>
    </row>
    <row r="102" spans="2:16">
      <c r="B102" s="2095"/>
      <c r="C102" s="843"/>
      <c r="D102" s="843" t="s">
        <v>261</v>
      </c>
      <c r="E102" s="841"/>
      <c r="F102" s="2317" t="s">
        <v>1337</v>
      </c>
      <c r="G102" s="841"/>
      <c r="H102" s="838" t="s">
        <v>1338</v>
      </c>
      <c r="I102" s="838" t="s">
        <v>1339</v>
      </c>
      <c r="J102" s="838" t="s">
        <v>1340</v>
      </c>
      <c r="K102" s="839" t="s">
        <v>259</v>
      </c>
      <c r="L102" s="840" t="s">
        <v>260</v>
      </c>
      <c r="M102" s="841"/>
      <c r="N102" s="839" t="s">
        <v>259</v>
      </c>
      <c r="O102" s="842" t="s">
        <v>260</v>
      </c>
    </row>
    <row r="103" spans="2:16">
      <c r="B103" s="2095"/>
      <c r="C103" s="843"/>
      <c r="D103" s="843"/>
      <c r="E103" s="843" t="s">
        <v>356</v>
      </c>
      <c r="F103" s="2318">
        <f t="shared" ref="F103:F111" si="14">F10</f>
        <v>0.98425196850393704</v>
      </c>
      <c r="G103" s="841"/>
      <c r="H103" s="2318">
        <f>IF(OR($F$20=$R$6,$F$20=$U$6),CO2データ!I67,IF($F$20=$S$6,CO2データ!L67,CO2データ!O67))</f>
        <v>16.456</v>
      </c>
      <c r="I103" s="2318">
        <f>IF(OR($F$20=$R$6,$F$20=$U$6),CO2データ!J67,IF($F$20=$S$6,CO2データ!M67,CO2データ!P67))</f>
        <v>16.456</v>
      </c>
      <c r="J103" s="2318">
        <f>IF(OR($F$20=$R$6,$F$20=$U$6),CO2データ!K67,IF($F$20=$S$6,CO2データ!N67,CO2データ!Q67))</f>
        <v>16.456</v>
      </c>
      <c r="K103" s="2110">
        <f>スコア!Q83</f>
        <v>3</v>
      </c>
      <c r="L103" s="2320">
        <f t="shared" ref="L103:L111" si="15">IF(K103&gt;=5,$J103,IF(K103&gt;=4,$I103,$H103))</f>
        <v>16.456</v>
      </c>
      <c r="M103" s="841"/>
      <c r="N103" s="2110">
        <v>3</v>
      </c>
      <c r="O103" s="2321">
        <f>IF(OR($F$20=$R$6,$F$20=$U$6),CO2データ!I65,IF($F$20=$S$6,CO2データ!L65,CO2データ!O65))</f>
        <v>16.456</v>
      </c>
    </row>
    <row r="104" spans="2:16">
      <c r="B104" s="2095"/>
      <c r="C104" s="841"/>
      <c r="D104" s="843"/>
      <c r="E104" s="843" t="s">
        <v>358</v>
      </c>
      <c r="F104" s="2318">
        <f t="shared" si="14"/>
        <v>0</v>
      </c>
      <c r="G104" s="841"/>
      <c r="H104" s="2318">
        <f>IF(OR($F$20=$R$6,$F$20=$U$6),CO2データ!I70,IF($F$20=$S$6,CO2データ!L70,CO2データ!O70))</f>
        <v>12.423999999999999</v>
      </c>
      <c r="I104" s="2318">
        <f>IF(OR($F$20=$R$6,$F$20=$U$6),CO2データ!J70,IF($F$20=$S$6,CO2データ!M70,CO2データ!P70))</f>
        <v>12.423999999999999</v>
      </c>
      <c r="J104" s="2318">
        <f>IF(OR($F$20=$R$6,$F$20=$U$6),CO2データ!K70,IF($F$20=$S$6,CO2データ!N70,CO2データ!Q70))</f>
        <v>12.423999999999999</v>
      </c>
      <c r="K104" s="2110">
        <f t="shared" ref="K104:K111" si="16">K$103</f>
        <v>3</v>
      </c>
      <c r="L104" s="2320">
        <f t="shared" si="15"/>
        <v>12.423999999999999</v>
      </c>
      <c r="M104" s="841"/>
      <c r="N104" s="2110">
        <v>3</v>
      </c>
      <c r="O104" s="2321">
        <f>IF(OR($F$20=$R$6,$F$20=$U$6),CO2データ!I68,IF($F$20=$S$6,CO2データ!L68,CO2データ!O68))</f>
        <v>12.423999999999999</v>
      </c>
    </row>
    <row r="105" spans="2:16">
      <c r="B105" s="2095"/>
      <c r="C105" s="841"/>
      <c r="D105" s="2096"/>
      <c r="E105" s="843" t="s">
        <v>360</v>
      </c>
      <c r="F105" s="2318">
        <f t="shared" si="14"/>
        <v>0</v>
      </c>
      <c r="G105" s="841"/>
      <c r="H105" s="2318">
        <f>IF(OR($F$20=$R$6,$F$20=$U$6),CO2データ!I73,IF($F$20=$S$6,CO2データ!L73,CO2データ!O73))</f>
        <v>13.193999999999999</v>
      </c>
      <c r="I105" s="2318">
        <f>IF(OR($F$20=$R$6,$F$20=$U$6),CO2データ!J73,IF($F$20=$S$6,CO2データ!M73,CO2データ!P73))</f>
        <v>13.193999999999999</v>
      </c>
      <c r="J105" s="2318">
        <f>IF(OR($F$20=$R$6,$F$20=$U$6),CO2データ!K73,IF($F$20=$S$6,CO2データ!N73,CO2データ!Q73))</f>
        <v>13.193999999999999</v>
      </c>
      <c r="K105" s="2110">
        <f t="shared" si="16"/>
        <v>3</v>
      </c>
      <c r="L105" s="2320">
        <f t="shared" si="15"/>
        <v>13.193999999999999</v>
      </c>
      <c r="M105" s="841"/>
      <c r="N105" s="2110">
        <v>3</v>
      </c>
      <c r="O105" s="2321">
        <f>IF(OR($F$20=$R$6,$F$20=$U$6),CO2データ!I71,IF($F$20=$S$6,CO2データ!L71,CO2データ!O71))</f>
        <v>7.7379999999999995</v>
      </c>
    </row>
    <row r="106" spans="2:16">
      <c r="B106" s="2095"/>
      <c r="C106" s="841"/>
      <c r="D106" s="843"/>
      <c r="E106" s="843" t="s">
        <v>362</v>
      </c>
      <c r="F106" s="2318">
        <f t="shared" si="14"/>
        <v>0</v>
      </c>
      <c r="G106" s="841"/>
      <c r="H106" s="2318">
        <f>IF(OR($F$20=$R$6,$F$20=$U$6),CO2データ!I76,IF($F$20=$S$6,CO2データ!L76,CO2データ!O76))</f>
        <v>7.7379999999999995</v>
      </c>
      <c r="I106" s="2318">
        <f>IF(OR($F$20=$R$6,$F$20=$U$6),CO2データ!J76,IF($F$20=$S$6,CO2データ!M76,CO2データ!P76))</f>
        <v>7.7379999999999995</v>
      </c>
      <c r="J106" s="2318">
        <f>IF(OR($F$20=$R$6,$F$20=$U$6),CO2データ!K76,IF($F$20=$S$6,CO2データ!N76,CO2データ!Q76))</f>
        <v>7.7379999999999995</v>
      </c>
      <c r="K106" s="2110">
        <f t="shared" si="16"/>
        <v>3</v>
      </c>
      <c r="L106" s="2320">
        <f t="shared" si="15"/>
        <v>7.7379999999999995</v>
      </c>
      <c r="M106" s="841"/>
      <c r="N106" s="2110">
        <v>3</v>
      </c>
      <c r="O106" s="2321">
        <f>IF(OR($F$20=$R$6,$F$20=$U$6),CO2データ!I74,IF($F$20=$S$6,CO2データ!L74,CO2データ!O74))</f>
        <v>7.7379999999999995</v>
      </c>
    </row>
    <row r="107" spans="2:16">
      <c r="B107" s="2095"/>
      <c r="C107" s="2096"/>
      <c r="D107" s="2096"/>
      <c r="E107" s="2101" t="s">
        <v>1617</v>
      </c>
      <c r="F107" s="2318">
        <f t="shared" si="14"/>
        <v>0</v>
      </c>
      <c r="G107" s="841"/>
      <c r="H107" s="2318">
        <f>IF(OR($F$20=$R$6,$F$20=$U$6),CO2データ!I79,IF($F$20=$S$6,CO2データ!L79,CO2データ!O79))</f>
        <v>13.426</v>
      </c>
      <c r="I107" s="2318">
        <f>IF(OR($F$20=$R$6,$F$20=$U$6),CO2データ!J79,IF($F$20=$S$6,CO2データ!M79,CO2データ!P79))</f>
        <v>13.426</v>
      </c>
      <c r="J107" s="2318">
        <f>IF(OR($F$20=$R$6,$F$20=$U$6),CO2データ!K79,IF($F$20=$S$6,CO2データ!N79,CO2データ!Q79))</f>
        <v>13.426</v>
      </c>
      <c r="K107" s="2110">
        <f t="shared" si="16"/>
        <v>3</v>
      </c>
      <c r="L107" s="2320">
        <f t="shared" si="15"/>
        <v>13.426</v>
      </c>
      <c r="M107" s="841"/>
      <c r="N107" s="2110">
        <v>3</v>
      </c>
      <c r="O107" s="2321">
        <f>IF(OR($F$20=$R$6,$F$20=$U$6),CO2データ!I77,IF($F$20=$S$6,CO2データ!L77,CO2データ!O77))</f>
        <v>13.426</v>
      </c>
    </row>
    <row r="108" spans="2:16">
      <c r="B108" s="2095"/>
      <c r="C108" s="2096"/>
      <c r="D108" s="2096"/>
      <c r="E108" s="2101" t="s">
        <v>372</v>
      </c>
      <c r="F108" s="2318">
        <f t="shared" si="14"/>
        <v>0</v>
      </c>
      <c r="G108" s="841"/>
      <c r="H108" s="2318">
        <f>IF(OR($F$20=$R$6,$F$20=$U$6),CO2データ!I82,IF($F$20=$S$6,CO2データ!L82,CO2データ!O82))</f>
        <v>9.4220000000000006</v>
      </c>
      <c r="I108" s="2318">
        <f>IF(OR($F$20=$R$6,$F$20=$U$6),CO2データ!J82,IF($F$20=$S$6,CO2データ!M82,CO2データ!P82))</f>
        <v>9.4220000000000006</v>
      </c>
      <c r="J108" s="2318">
        <f>IF(OR($F$20=$R$6,$F$20=$U$6),CO2データ!K82,IF($F$20=$S$6,CO2データ!N82,CO2データ!Q82))</f>
        <v>9.4220000000000006</v>
      </c>
      <c r="K108" s="2110">
        <f t="shared" si="16"/>
        <v>3</v>
      </c>
      <c r="L108" s="2320">
        <f t="shared" si="15"/>
        <v>9.4220000000000006</v>
      </c>
      <c r="M108" s="841"/>
      <c r="N108" s="2110">
        <v>3</v>
      </c>
      <c r="O108" s="2321">
        <f>IF(OR($F$20=$R$6,$F$20=$U$6),CO2データ!I80,IF($F$20=$S$6,CO2データ!L80,CO2データ!O80))</f>
        <v>9.4220000000000006</v>
      </c>
    </row>
    <row r="109" spans="2:16">
      <c r="B109" s="2095"/>
      <c r="C109" s="2096"/>
      <c r="D109" s="2096"/>
      <c r="E109" s="2101" t="s">
        <v>366</v>
      </c>
      <c r="F109" s="2318">
        <f t="shared" si="14"/>
        <v>0</v>
      </c>
      <c r="G109" s="841"/>
      <c r="H109" s="2318">
        <f>IF(OR($F$20=$R$6,$F$20=$U$6),CO2データ!I85,IF($F$20=$S$6,CO2データ!L85,CO2データ!O85))</f>
        <v>16.053999999999998</v>
      </c>
      <c r="I109" s="2318">
        <f>IF(OR($F$20=$R$6,$F$20=$U$6),CO2データ!J85,IF($F$20=$S$6,CO2データ!M85,CO2データ!P85))</f>
        <v>16.053999999999998</v>
      </c>
      <c r="J109" s="2318">
        <f>IF(OR($F$20=$R$6,$F$20=$U$6),CO2データ!K85,IF($F$20=$S$6,CO2データ!N85,CO2データ!Q85))</f>
        <v>16.053999999999998</v>
      </c>
      <c r="K109" s="2110">
        <f t="shared" si="16"/>
        <v>3</v>
      </c>
      <c r="L109" s="2320">
        <f t="shared" si="15"/>
        <v>16.053999999999998</v>
      </c>
      <c r="M109" s="841"/>
      <c r="N109" s="2110">
        <v>3</v>
      </c>
      <c r="O109" s="2321">
        <f>IF(OR($F$20=$R$6,$F$20=$U$6),CO2データ!I83,IF($F$20=$S$6,CO2データ!L83,CO2データ!O83))</f>
        <v>16.053999999999998</v>
      </c>
    </row>
    <row r="110" spans="2:16">
      <c r="B110" s="2095"/>
      <c r="C110" s="2096"/>
      <c r="D110" s="2096"/>
      <c r="E110" s="2101" t="s">
        <v>262</v>
      </c>
      <c r="F110" s="2318">
        <f t="shared" si="14"/>
        <v>0</v>
      </c>
      <c r="G110" s="841"/>
      <c r="H110" s="2318">
        <f>IF(OR($F$20=$R$6,$F$20=$U$6),CO2データ!I88,IF($F$20=$S$6,CO2データ!L88,CO2データ!O88))</f>
        <v>13.942</v>
      </c>
      <c r="I110" s="2318">
        <f>IF(OR($F$20=$R$6,$F$20=$U$6),CO2データ!J88,IF($F$20=$S$6,CO2データ!M88,CO2データ!P88))</f>
        <v>13.942</v>
      </c>
      <c r="J110" s="2318">
        <f>IF(OR($F$20=$R$6,$F$20=$U$6),CO2データ!K88,IF($F$20=$S$6,CO2データ!N88,CO2データ!Q88))</f>
        <v>13.942</v>
      </c>
      <c r="K110" s="2110">
        <f t="shared" si="16"/>
        <v>3</v>
      </c>
      <c r="L110" s="2320">
        <f t="shared" si="15"/>
        <v>13.942</v>
      </c>
      <c r="M110" s="841"/>
      <c r="N110" s="2110">
        <v>3</v>
      </c>
      <c r="O110" s="2321">
        <f>IF(OR($F$20=$R$6,$F$20=$U$6),CO2データ!I86,IF($F$20=$S$6,CO2データ!L86,CO2データ!O86))</f>
        <v>13.942</v>
      </c>
    </row>
    <row r="111" spans="2:16">
      <c r="B111" s="2095"/>
      <c r="C111" s="2096"/>
      <c r="D111" s="2096"/>
      <c r="E111" s="2101" t="s">
        <v>370</v>
      </c>
      <c r="F111" s="2318">
        <f t="shared" si="14"/>
        <v>1.5748031496062992E-2</v>
      </c>
      <c r="G111" s="841"/>
      <c r="H111" s="2318">
        <f>IF(OR($F$20=$R$6,$F$20=$U$6),CO2データ!I91,IF($F$20=$S$6,CO2データ!L91,CO2データ!O91))</f>
        <v>8.3709999999999987</v>
      </c>
      <c r="I111" s="2318">
        <f>IF(OR($F$20=$R$6,$F$20=$U$6),CO2データ!J91,IF($F$20=$S$6,CO2データ!M91,CO2データ!P91))</f>
        <v>9.7349999999999994</v>
      </c>
      <c r="J111" s="2318">
        <f>IF(OR($F$20=$R$6,$F$20=$U$6),CO2データ!K91,IF($F$20=$S$6,CO2データ!N91,CO2データ!Q91))</f>
        <v>10.863</v>
      </c>
      <c r="K111" s="2110">
        <f t="shared" si="16"/>
        <v>3</v>
      </c>
      <c r="L111" s="2320">
        <f t="shared" si="15"/>
        <v>8.3709999999999987</v>
      </c>
      <c r="M111" s="841"/>
      <c r="N111" s="2110">
        <v>3</v>
      </c>
      <c r="O111" s="2321">
        <f>IF(OR($F$20=$R$6,$F$20=$U$6),CO2データ!I89,IF($F$20=$S$6,CO2データ!L89,CO2データ!O89))</f>
        <v>8.3709999999999987</v>
      </c>
    </row>
    <row r="112" spans="2:16" ht="14.25" thickBot="1">
      <c r="B112" s="2095"/>
      <c r="C112" s="2096"/>
      <c r="D112" s="2096"/>
      <c r="E112" s="2096"/>
      <c r="F112" s="2096"/>
      <c r="G112" s="2096"/>
      <c r="H112" s="2096"/>
      <c r="I112" s="2096"/>
      <c r="J112" s="2096"/>
      <c r="K112" s="2096"/>
      <c r="L112" s="2096"/>
      <c r="M112" s="2096"/>
      <c r="N112" s="2096"/>
      <c r="O112" s="2230"/>
    </row>
    <row r="113" spans="2:18" ht="14.25" thickBot="1">
      <c r="B113" s="2331"/>
      <c r="C113" s="836" t="s">
        <v>1715</v>
      </c>
      <c r="D113" s="843"/>
      <c r="E113" s="2101"/>
      <c r="F113" s="2096"/>
      <c r="G113" s="2096"/>
      <c r="H113" s="2096"/>
      <c r="I113" s="2096"/>
      <c r="J113" s="2096"/>
      <c r="K113" s="2096"/>
      <c r="L113" s="2334">
        <f>SUMPRODUCT(F103:F111,L103:L111)</f>
        <v>16.328677165354332</v>
      </c>
      <c r="M113" s="2096"/>
      <c r="N113" s="2096"/>
      <c r="O113" s="2334">
        <f>SUMPRODUCT(F103:F111,O103:O111)</f>
        <v>16.328677165354332</v>
      </c>
    </row>
    <row r="114" spans="2:18">
      <c r="B114" s="2095"/>
      <c r="C114" s="2096"/>
      <c r="D114" s="2096"/>
      <c r="E114" s="2096"/>
      <c r="F114" s="2096"/>
      <c r="G114" s="2096"/>
      <c r="H114" s="2096"/>
      <c r="I114" s="2096"/>
      <c r="J114" s="2096"/>
      <c r="K114" s="2096"/>
      <c r="L114" s="2096"/>
      <c r="M114" s="2096"/>
      <c r="N114" s="2096"/>
      <c r="O114" s="2230"/>
    </row>
    <row r="115" spans="2:18" ht="17.25" thickBot="1">
      <c r="B115" s="832" t="s">
        <v>1602</v>
      </c>
      <c r="C115" s="2096"/>
      <c r="D115" s="2096"/>
      <c r="E115" s="2096"/>
      <c r="F115" s="2096"/>
      <c r="G115" s="2096"/>
      <c r="H115" s="2096"/>
      <c r="I115" s="2096"/>
      <c r="J115" s="2096"/>
      <c r="K115" s="2096"/>
      <c r="L115" s="833" t="s">
        <v>1595</v>
      </c>
      <c r="M115" s="841"/>
      <c r="N115" s="841"/>
      <c r="O115" s="835" t="s">
        <v>1595</v>
      </c>
      <c r="R115" t="s">
        <v>1603</v>
      </c>
    </row>
    <row r="116" spans="2:18" ht="14.25" thickBot="1">
      <c r="B116" s="832"/>
      <c r="C116" s="836" t="s">
        <v>1716</v>
      </c>
      <c r="D116" s="2096"/>
      <c r="E116" s="2096"/>
      <c r="F116" s="2096" t="s">
        <v>325</v>
      </c>
      <c r="G116" s="2096"/>
      <c r="H116" s="2096" t="s">
        <v>1446</v>
      </c>
      <c r="I116" s="2096"/>
      <c r="J116" s="2096" t="s">
        <v>1929</v>
      </c>
      <c r="K116" s="2096"/>
      <c r="L116" s="846" t="e">
        <f>SUM(L118:L121)</f>
        <v>#VALUE!</v>
      </c>
      <c r="M116" s="841"/>
      <c r="N116" s="847" t="s">
        <v>1717</v>
      </c>
      <c r="O116" s="846" t="e">
        <f>SUM(O118:O121)</f>
        <v>#VALUE!</v>
      </c>
    </row>
    <row r="117" spans="2:18">
      <c r="B117" s="832"/>
      <c r="C117" s="836"/>
      <c r="D117" s="2096"/>
      <c r="E117" s="2096"/>
      <c r="F117" s="2353" t="s">
        <v>2421</v>
      </c>
      <c r="G117" s="2096"/>
      <c r="H117" s="829" t="s">
        <v>1448</v>
      </c>
      <c r="I117" s="829" t="s">
        <v>1447</v>
      </c>
      <c r="J117" s="843" t="s">
        <v>1444</v>
      </c>
      <c r="K117" s="2096"/>
      <c r="L117" s="848"/>
      <c r="M117" s="841"/>
      <c r="N117" s="847"/>
      <c r="O117" s="2109"/>
    </row>
    <row r="118" spans="2:18">
      <c r="B118" s="832"/>
      <c r="C118" s="836"/>
      <c r="D118" s="2096"/>
      <c r="E118" s="2096" t="s">
        <v>519</v>
      </c>
      <c r="F118" s="2354">
        <f>計画書!H113</f>
        <v>20000</v>
      </c>
      <c r="G118" s="2096"/>
      <c r="H118" s="2354">
        <f>計画書!P93</f>
        <v>38000</v>
      </c>
      <c r="I118" s="2354" t="e">
        <f>計画書!N93</f>
        <v>#VALUE!</v>
      </c>
      <c r="J118" s="2243" t="e">
        <f>計画書!L113</f>
        <v>#VALUE!</v>
      </c>
      <c r="K118" s="2096"/>
      <c r="L118" s="2153" t="e">
        <f>IF(F118=0,0,I118*J118/F118*1000)</f>
        <v>#VALUE!</v>
      </c>
      <c r="M118" s="841"/>
      <c r="N118" s="847"/>
      <c r="O118" s="2355" t="e">
        <f>IF(F118=0,0,H118*J118/F118*1000)</f>
        <v>#VALUE!</v>
      </c>
    </row>
    <row r="119" spans="2:18" s="2413" customFormat="1" hidden="1">
      <c r="B119" s="832"/>
      <c r="C119" s="836"/>
      <c r="D119" s="2096"/>
      <c r="E119" s="2096"/>
      <c r="F119" s="2354"/>
      <c r="G119" s="2096"/>
      <c r="H119" s="2354"/>
      <c r="I119" s="2354"/>
      <c r="J119" s="2243"/>
      <c r="K119" s="2096"/>
      <c r="L119" s="2153"/>
      <c r="M119" s="841"/>
      <c r="N119" s="847"/>
      <c r="O119" s="2355"/>
    </row>
    <row r="120" spans="2:18">
      <c r="B120" s="832"/>
      <c r="C120" s="836"/>
      <c r="D120" s="2096"/>
      <c r="E120" s="2096" t="s">
        <v>565</v>
      </c>
      <c r="F120" s="2354">
        <f>メイン!E64</f>
        <v>300</v>
      </c>
      <c r="G120" s="2096"/>
      <c r="H120" s="2354">
        <f>計画書!P125</f>
        <v>0</v>
      </c>
      <c r="I120" s="2354">
        <f>計画書!N125</f>
        <v>0</v>
      </c>
      <c r="J120" s="2243" t="e">
        <f>CO2データ!R207</f>
        <v>#VALUE!</v>
      </c>
      <c r="K120" s="2096"/>
      <c r="L120" s="2153" t="e">
        <f>IF(F120=0,0,I120*J120/F120*1000)</f>
        <v>#VALUE!</v>
      </c>
      <c r="M120" s="841"/>
      <c r="N120" s="847"/>
      <c r="O120" s="2355" t="e">
        <f>IF(F120=0,0,H120*J120/F120*1000)</f>
        <v>#VALUE!</v>
      </c>
    </row>
    <row r="121" spans="2:18">
      <c r="B121" s="832"/>
      <c r="C121" s="836"/>
      <c r="D121" s="2096"/>
      <c r="E121" s="2096" t="s">
        <v>1445</v>
      </c>
      <c r="F121" s="2354">
        <f>メイン!E65</f>
        <v>20</v>
      </c>
      <c r="G121" s="2096"/>
      <c r="H121" s="2354">
        <f>計画書!P128</f>
        <v>0</v>
      </c>
      <c r="I121" s="2354">
        <f>IF(計画書!N128="-",0,計画書!N128)</f>
        <v>0</v>
      </c>
      <c r="J121" s="2243" t="e">
        <f>CO2データ!R208</f>
        <v>#VALUE!</v>
      </c>
      <c r="K121" s="2096"/>
      <c r="L121" s="2153" t="e">
        <f>IF(F121=0,0,I121*J121/F121*1000)</f>
        <v>#VALUE!</v>
      </c>
      <c r="M121" s="841"/>
      <c r="N121" s="847"/>
      <c r="O121" s="2355" t="e">
        <f>IF(F121=0,0,H121*J121/F121*1000)</f>
        <v>#VALUE!</v>
      </c>
    </row>
    <row r="122" spans="2:18" ht="14.25" thickBot="1">
      <c r="B122" s="832"/>
      <c r="C122" s="2096"/>
      <c r="D122" s="2096"/>
      <c r="E122" s="2096"/>
      <c r="F122" s="2096"/>
      <c r="G122" s="2096"/>
      <c r="H122" s="2096"/>
      <c r="I122" s="2096"/>
      <c r="J122" s="2096"/>
      <c r="K122" s="2096"/>
      <c r="L122" s="833"/>
      <c r="M122" s="841"/>
      <c r="N122" s="841"/>
      <c r="O122" s="835"/>
    </row>
    <row r="123" spans="2:18" ht="14.25" thickBot="1">
      <c r="B123" s="2095"/>
      <c r="C123" s="836" t="s">
        <v>1718</v>
      </c>
      <c r="D123" s="2096"/>
      <c r="E123" s="2096"/>
      <c r="F123" s="2096" t="s">
        <v>325</v>
      </c>
      <c r="G123" s="2096"/>
      <c r="H123" s="2096" t="s">
        <v>1446</v>
      </c>
      <c r="I123" s="2096"/>
      <c r="J123" s="2096" t="s">
        <v>1929</v>
      </c>
      <c r="K123" s="2096"/>
      <c r="L123" s="846" t="e">
        <f>SUM(L125:L127)</f>
        <v>#VALUE!</v>
      </c>
      <c r="M123" s="2096"/>
      <c r="N123" s="2096"/>
      <c r="O123" s="2230"/>
    </row>
    <row r="124" spans="2:18">
      <c r="B124" s="2095"/>
      <c r="C124" s="836"/>
      <c r="D124" s="2096"/>
      <c r="E124" s="2096"/>
      <c r="F124" s="2100" t="s">
        <v>1937</v>
      </c>
      <c r="G124" s="2096"/>
      <c r="H124" s="2356" t="s">
        <v>104</v>
      </c>
      <c r="I124" s="829" t="s">
        <v>1449</v>
      </c>
      <c r="J124" s="843" t="s">
        <v>1444</v>
      </c>
      <c r="K124" s="2096"/>
      <c r="L124" s="2096"/>
      <c r="M124" s="2096"/>
      <c r="N124" s="2096"/>
      <c r="O124" s="2230"/>
    </row>
    <row r="125" spans="2:18">
      <c r="B125" s="2095"/>
      <c r="C125" s="836"/>
      <c r="D125" s="2096"/>
      <c r="E125" s="2096" t="s">
        <v>519</v>
      </c>
      <c r="F125" s="2354">
        <f>F118</f>
        <v>20000</v>
      </c>
      <c r="G125" s="2096"/>
      <c r="H125" s="2354">
        <f>計画書!J84</f>
        <v>0</v>
      </c>
      <c r="I125" s="2354" t="e">
        <f>I118-H125</f>
        <v>#VALUE!</v>
      </c>
      <c r="J125" s="2243" t="e">
        <f>J118</f>
        <v>#VALUE!</v>
      </c>
      <c r="K125" s="2096"/>
      <c r="L125" s="2153" t="e">
        <f>IF(F125=0,0,I125*J125/F125*1000)</f>
        <v>#VALUE!</v>
      </c>
      <c r="M125" s="2096"/>
      <c r="N125" s="2096"/>
      <c r="O125" s="2230"/>
    </row>
    <row r="126" spans="2:18">
      <c r="B126" s="2095"/>
      <c r="C126" s="836"/>
      <c r="D126" s="2096"/>
      <c r="E126" s="3023" t="s">
        <v>3817</v>
      </c>
      <c r="F126" s="2354">
        <f>F120</f>
        <v>300</v>
      </c>
      <c r="G126" s="2096"/>
      <c r="H126" s="2354">
        <f>IF(計画書!F62=計画書!S59,計画書!K84,0)</f>
        <v>0</v>
      </c>
      <c r="I126" s="2354">
        <f>I120-H126</f>
        <v>0</v>
      </c>
      <c r="J126" s="2243" t="e">
        <f>J120</f>
        <v>#VALUE!</v>
      </c>
      <c r="K126" s="2096"/>
      <c r="L126" s="2153" t="e">
        <f>IF(F126=0,0,I126*J126/F126*1000)</f>
        <v>#VALUE!</v>
      </c>
      <c r="M126" s="2096"/>
      <c r="N126" s="2096"/>
      <c r="O126" s="2230"/>
    </row>
    <row r="127" spans="2:18">
      <c r="B127" s="2095"/>
      <c r="C127" s="836"/>
      <c r="D127" s="2096"/>
      <c r="E127" s="2096" t="s">
        <v>1445</v>
      </c>
      <c r="F127" s="2354">
        <f>F121</f>
        <v>20</v>
      </c>
      <c r="G127" s="2096"/>
      <c r="H127" s="2354">
        <f>計画書!L84</f>
        <v>0</v>
      </c>
      <c r="I127" s="2354">
        <f>I121-H127</f>
        <v>0</v>
      </c>
      <c r="J127" s="2243" t="e">
        <f>J121</f>
        <v>#VALUE!</v>
      </c>
      <c r="K127" s="2096"/>
      <c r="L127" s="2153" t="e">
        <f>IF(F127=0,0,I127*J127/F127*1000)</f>
        <v>#VALUE!</v>
      </c>
      <c r="M127" s="2096"/>
      <c r="N127" s="2096"/>
      <c r="O127" s="2230"/>
    </row>
    <row r="128" spans="2:18">
      <c r="B128" s="2095"/>
      <c r="C128" s="836"/>
      <c r="D128" s="2096"/>
      <c r="E128" s="964" t="s">
        <v>3818</v>
      </c>
      <c r="F128" s="2096"/>
      <c r="G128" s="2096"/>
      <c r="H128" s="2096"/>
      <c r="I128" s="2096"/>
      <c r="J128" s="2096"/>
      <c r="K128" s="2096"/>
      <c r="L128" s="2096"/>
      <c r="M128" s="2096"/>
      <c r="N128" s="2096"/>
      <c r="O128" s="2230"/>
    </row>
    <row r="129" spans="2:15" hidden="1">
      <c r="B129" s="2095"/>
      <c r="C129" s="836"/>
      <c r="D129" s="2096"/>
      <c r="E129" s="2096"/>
      <c r="F129" s="2096" t="s">
        <v>1781</v>
      </c>
      <c r="G129" s="2096"/>
      <c r="H129" s="2354"/>
      <c r="I129" s="2243"/>
      <c r="J129" s="2225"/>
      <c r="K129" s="2096"/>
      <c r="L129" s="2096"/>
      <c r="M129" s="2096"/>
      <c r="N129" s="2096"/>
      <c r="O129" s="2230"/>
    </row>
    <row r="130" spans="2:15" hidden="1">
      <c r="B130" s="2095"/>
      <c r="C130" s="836"/>
      <c r="D130" s="2096"/>
      <c r="E130" s="2096"/>
      <c r="F130" s="2096"/>
      <c r="G130" s="2096"/>
      <c r="H130" s="841"/>
      <c r="I130" s="2096"/>
      <c r="J130" s="2096"/>
      <c r="K130" s="2096"/>
      <c r="L130" s="2227"/>
      <c r="M130" s="2096"/>
      <c r="N130" s="2096"/>
      <c r="O130" s="2230"/>
    </row>
    <row r="131" spans="2:15" ht="16.5">
      <c r="B131" s="832" t="s">
        <v>1604</v>
      </c>
      <c r="C131" s="841"/>
      <c r="D131" s="843"/>
      <c r="E131" s="841"/>
      <c r="F131" s="834"/>
      <c r="G131" s="841"/>
      <c r="H131" s="841"/>
      <c r="I131" s="841"/>
      <c r="J131" s="841"/>
      <c r="K131" s="2357"/>
      <c r="L131" s="833" t="s">
        <v>1595</v>
      </c>
      <c r="M131" s="841"/>
      <c r="N131" s="841"/>
      <c r="O131" s="835" t="s">
        <v>1595</v>
      </c>
    </row>
    <row r="132" spans="2:15">
      <c r="B132" s="2099"/>
      <c r="C132" s="841"/>
      <c r="D132" s="843"/>
      <c r="E132" s="841"/>
      <c r="F132" s="834"/>
      <c r="G132" s="841"/>
      <c r="H132" s="841"/>
      <c r="I132" s="841"/>
      <c r="J132" s="841"/>
      <c r="K132" s="2357"/>
      <c r="L132" s="840" t="s">
        <v>260</v>
      </c>
      <c r="M132" s="841"/>
      <c r="N132" s="851"/>
      <c r="O132" s="842" t="s">
        <v>260</v>
      </c>
    </row>
    <row r="133" spans="2:15">
      <c r="B133" s="2099"/>
      <c r="C133" s="852" t="s">
        <v>567</v>
      </c>
      <c r="D133" s="853"/>
      <c r="E133" s="853"/>
      <c r="F133" s="854"/>
      <c r="G133" s="841"/>
      <c r="H133" s="841"/>
      <c r="I133" s="841"/>
      <c r="J133" s="841"/>
      <c r="K133" s="2357"/>
      <c r="L133" s="855">
        <f>L24</f>
        <v>13.330629921259844</v>
      </c>
      <c r="M133" s="841"/>
      <c r="N133" s="841"/>
      <c r="O133" s="856">
        <f>O24</f>
        <v>13.330629921259844</v>
      </c>
    </row>
    <row r="134" spans="2:15">
      <c r="B134" s="2099"/>
      <c r="C134" s="852" t="s">
        <v>1782</v>
      </c>
      <c r="D134" s="853"/>
      <c r="E134" s="853"/>
      <c r="F134" s="854"/>
      <c r="G134" s="841"/>
      <c r="H134" s="841"/>
      <c r="I134" s="841"/>
      <c r="J134" s="841"/>
      <c r="K134" s="2357"/>
      <c r="L134" s="855">
        <f>L113</f>
        <v>16.328677165354332</v>
      </c>
      <c r="M134" s="841"/>
      <c r="N134" s="841"/>
      <c r="O134" s="856">
        <f>O113</f>
        <v>16.328677165354332</v>
      </c>
    </row>
    <row r="135" spans="2:15">
      <c r="B135" s="2099"/>
      <c r="C135" s="852" t="s">
        <v>569</v>
      </c>
      <c r="D135" s="853"/>
      <c r="E135" s="853"/>
      <c r="F135" s="854"/>
      <c r="G135" s="841"/>
      <c r="H135" s="841"/>
      <c r="I135" s="841"/>
      <c r="J135" s="841"/>
      <c r="K135" s="2357"/>
      <c r="L135" s="857" t="e">
        <f>L123</f>
        <v>#VALUE!</v>
      </c>
      <c r="M135" s="841"/>
      <c r="N135" s="841"/>
      <c r="O135" s="858" t="e">
        <f>O116</f>
        <v>#VALUE!</v>
      </c>
    </row>
    <row r="136" spans="2:15" ht="14.25" thickBot="1">
      <c r="B136" s="2234"/>
      <c r="C136" s="859" t="s">
        <v>374</v>
      </c>
      <c r="D136" s="860"/>
      <c r="E136" s="861"/>
      <c r="F136" s="862"/>
      <c r="G136" s="2235"/>
      <c r="H136" s="2235"/>
      <c r="I136" s="2235"/>
      <c r="J136" s="2235"/>
      <c r="K136" s="2235"/>
      <c r="L136" s="863" t="e">
        <f>IF(COUNTIF(L133:L135,$R$115)&gt;0,$R$115,SUM(L133:L135))</f>
        <v>#VALUE!</v>
      </c>
      <c r="M136" s="864"/>
      <c r="N136" s="864"/>
      <c r="O136" s="865" t="e">
        <f>IF(COUNTIF(O133:O135,$R$115)&gt;0,$R$115,SUM(O133:O135))</f>
        <v>#VALUE!</v>
      </c>
    </row>
    <row r="137" spans="2:15"/>
  </sheetData>
  <sheetProtection algorithmName="SHA-512" hashValue="debrRK6euvbE1DfANvOCpEVTCqMexh/RkdCqwq1YVARLWVSEdE1xarN5OqH8rs0M8SQ+U8Ycwskfdl04tp7YUw==" saltValue="0XZ8J58xKxhH9c+utWBFDg==" spinCount="100000" sheet="1" objects="1" scenarios="1" selectLockedCells="1"/>
  <mergeCells count="6">
    <mergeCell ref="L2:M2"/>
    <mergeCell ref="N2:O2"/>
    <mergeCell ref="L3:M3"/>
    <mergeCell ref="N3:O3"/>
    <mergeCell ref="B3:E3"/>
    <mergeCell ref="B2:E2"/>
  </mergeCells>
  <phoneticPr fontId="21"/>
  <conditionalFormatting sqref="E135 E133">
    <cfRule type="cellIs" dxfId="7" priority="1" stopIfTrue="1" operator="equal">
      <formula>5</formula>
    </cfRule>
    <cfRule type="cellIs" dxfId="6" priority="2" stopIfTrue="1" operator="equal">
      <formula>4</formula>
    </cfRule>
    <cfRule type="cellIs" dxfId="5"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2" orientation="portrait" verticalDpi="300" r:id="rId1"/>
  <headerFooter alignWithMargins="0">
    <oddHeader>&amp;L&amp;F&amp;R&amp;A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B1:F140"/>
  <sheetViews>
    <sheetView view="pageBreakPreview" topLeftCell="A85" zoomScaleNormal="130" zoomScaleSheetLayoutView="100" workbookViewId="0">
      <selection activeCell="F11" sqref="F11"/>
    </sheetView>
  </sheetViews>
  <sheetFormatPr defaultRowHeight="13.5"/>
  <cols>
    <col min="1" max="1" width="9" style="2894"/>
    <col min="2" max="2" width="9.125" style="2894" customWidth="1"/>
    <col min="3" max="3" width="6.25" style="2894" customWidth="1"/>
    <col min="4" max="4" width="26.25" style="2894" customWidth="1"/>
    <col min="5" max="5" width="38.25" style="2894" customWidth="1"/>
    <col min="6" max="257" width="9" style="2894"/>
    <col min="258" max="258" width="9.125" style="2894" customWidth="1"/>
    <col min="259" max="259" width="6.25" style="2894" customWidth="1"/>
    <col min="260" max="260" width="26.25" style="2894" customWidth="1"/>
    <col min="261" max="261" width="38.25" style="2894" customWidth="1"/>
    <col min="262" max="513" width="9" style="2894"/>
    <col min="514" max="514" width="9.125" style="2894" customWidth="1"/>
    <col min="515" max="515" width="6.25" style="2894" customWidth="1"/>
    <col min="516" max="516" width="26.25" style="2894" customWidth="1"/>
    <col min="517" max="517" width="38.25" style="2894" customWidth="1"/>
    <col min="518" max="769" width="9" style="2894"/>
    <col min="770" max="770" width="9.125" style="2894" customWidth="1"/>
    <col min="771" max="771" width="6.25" style="2894" customWidth="1"/>
    <col min="772" max="772" width="26.25" style="2894" customWidth="1"/>
    <col min="773" max="773" width="38.25" style="2894" customWidth="1"/>
    <col min="774" max="1025" width="9" style="2894"/>
    <col min="1026" max="1026" width="9.125" style="2894" customWidth="1"/>
    <col min="1027" max="1027" width="6.25" style="2894" customWidth="1"/>
    <col min="1028" max="1028" width="26.25" style="2894" customWidth="1"/>
    <col min="1029" max="1029" width="38.25" style="2894" customWidth="1"/>
    <col min="1030" max="1281" width="9" style="2894"/>
    <col min="1282" max="1282" width="9.125" style="2894" customWidth="1"/>
    <col min="1283" max="1283" width="6.25" style="2894" customWidth="1"/>
    <col min="1284" max="1284" width="26.25" style="2894" customWidth="1"/>
    <col min="1285" max="1285" width="38.25" style="2894" customWidth="1"/>
    <col min="1286" max="1537" width="9" style="2894"/>
    <col min="1538" max="1538" width="9.125" style="2894" customWidth="1"/>
    <col min="1539" max="1539" width="6.25" style="2894" customWidth="1"/>
    <col min="1540" max="1540" width="26.25" style="2894" customWidth="1"/>
    <col min="1541" max="1541" width="38.25" style="2894" customWidth="1"/>
    <col min="1542" max="1793" width="9" style="2894"/>
    <col min="1794" max="1794" width="9.125" style="2894" customWidth="1"/>
    <col min="1795" max="1795" width="6.25" style="2894" customWidth="1"/>
    <col min="1796" max="1796" width="26.25" style="2894" customWidth="1"/>
    <col min="1797" max="1797" width="38.25" style="2894" customWidth="1"/>
    <col min="1798" max="2049" width="9" style="2894"/>
    <col min="2050" max="2050" width="9.125" style="2894" customWidth="1"/>
    <col min="2051" max="2051" width="6.25" style="2894" customWidth="1"/>
    <col min="2052" max="2052" width="26.25" style="2894" customWidth="1"/>
    <col min="2053" max="2053" width="38.25" style="2894" customWidth="1"/>
    <col min="2054" max="2305" width="9" style="2894"/>
    <col min="2306" max="2306" width="9.125" style="2894" customWidth="1"/>
    <col min="2307" max="2307" width="6.25" style="2894" customWidth="1"/>
    <col min="2308" max="2308" width="26.25" style="2894" customWidth="1"/>
    <col min="2309" max="2309" width="38.25" style="2894" customWidth="1"/>
    <col min="2310" max="2561" width="9" style="2894"/>
    <col min="2562" max="2562" width="9.125" style="2894" customWidth="1"/>
    <col min="2563" max="2563" width="6.25" style="2894" customWidth="1"/>
    <col min="2564" max="2564" width="26.25" style="2894" customWidth="1"/>
    <col min="2565" max="2565" width="38.25" style="2894" customWidth="1"/>
    <col min="2566" max="2817" width="9" style="2894"/>
    <col min="2818" max="2818" width="9.125" style="2894" customWidth="1"/>
    <col min="2819" max="2819" width="6.25" style="2894" customWidth="1"/>
    <col min="2820" max="2820" width="26.25" style="2894" customWidth="1"/>
    <col min="2821" max="2821" width="38.25" style="2894" customWidth="1"/>
    <col min="2822" max="3073" width="9" style="2894"/>
    <col min="3074" max="3074" width="9.125" style="2894" customWidth="1"/>
    <col min="3075" max="3075" width="6.25" style="2894" customWidth="1"/>
    <col min="3076" max="3076" width="26.25" style="2894" customWidth="1"/>
    <col min="3077" max="3077" width="38.25" style="2894" customWidth="1"/>
    <col min="3078" max="3329" width="9" style="2894"/>
    <col min="3330" max="3330" width="9.125" style="2894" customWidth="1"/>
    <col min="3331" max="3331" width="6.25" style="2894" customWidth="1"/>
    <col min="3332" max="3332" width="26.25" style="2894" customWidth="1"/>
    <col min="3333" max="3333" width="38.25" style="2894" customWidth="1"/>
    <col min="3334" max="3585" width="9" style="2894"/>
    <col min="3586" max="3586" width="9.125" style="2894" customWidth="1"/>
    <col min="3587" max="3587" width="6.25" style="2894" customWidth="1"/>
    <col min="3588" max="3588" width="26.25" style="2894" customWidth="1"/>
    <col min="3589" max="3589" width="38.25" style="2894" customWidth="1"/>
    <col min="3590" max="3841" width="9" style="2894"/>
    <col min="3842" max="3842" width="9.125" style="2894" customWidth="1"/>
    <col min="3843" max="3843" width="6.25" style="2894" customWidth="1"/>
    <col min="3844" max="3844" width="26.25" style="2894" customWidth="1"/>
    <col min="3845" max="3845" width="38.25" style="2894" customWidth="1"/>
    <col min="3846" max="4097" width="9" style="2894"/>
    <col min="4098" max="4098" width="9.125" style="2894" customWidth="1"/>
    <col min="4099" max="4099" width="6.25" style="2894" customWidth="1"/>
    <col min="4100" max="4100" width="26.25" style="2894" customWidth="1"/>
    <col min="4101" max="4101" width="38.25" style="2894" customWidth="1"/>
    <col min="4102" max="4353" width="9" style="2894"/>
    <col min="4354" max="4354" width="9.125" style="2894" customWidth="1"/>
    <col min="4355" max="4355" width="6.25" style="2894" customWidth="1"/>
    <col min="4356" max="4356" width="26.25" style="2894" customWidth="1"/>
    <col min="4357" max="4357" width="38.25" style="2894" customWidth="1"/>
    <col min="4358" max="4609" width="9" style="2894"/>
    <col min="4610" max="4610" width="9.125" style="2894" customWidth="1"/>
    <col min="4611" max="4611" width="6.25" style="2894" customWidth="1"/>
    <col min="4612" max="4612" width="26.25" style="2894" customWidth="1"/>
    <col min="4613" max="4613" width="38.25" style="2894" customWidth="1"/>
    <col min="4614" max="4865" width="9" style="2894"/>
    <col min="4866" max="4866" width="9.125" style="2894" customWidth="1"/>
    <col min="4867" max="4867" width="6.25" style="2894" customWidth="1"/>
    <col min="4868" max="4868" width="26.25" style="2894" customWidth="1"/>
    <col min="4869" max="4869" width="38.25" style="2894" customWidth="1"/>
    <col min="4870" max="5121" width="9" style="2894"/>
    <col min="5122" max="5122" width="9.125" style="2894" customWidth="1"/>
    <col min="5123" max="5123" width="6.25" style="2894" customWidth="1"/>
    <col min="5124" max="5124" width="26.25" style="2894" customWidth="1"/>
    <col min="5125" max="5125" width="38.25" style="2894" customWidth="1"/>
    <col min="5126" max="5377" width="9" style="2894"/>
    <col min="5378" max="5378" width="9.125" style="2894" customWidth="1"/>
    <col min="5379" max="5379" width="6.25" style="2894" customWidth="1"/>
    <col min="5380" max="5380" width="26.25" style="2894" customWidth="1"/>
    <col min="5381" max="5381" width="38.25" style="2894" customWidth="1"/>
    <col min="5382" max="5633" width="9" style="2894"/>
    <col min="5634" max="5634" width="9.125" style="2894" customWidth="1"/>
    <col min="5635" max="5635" width="6.25" style="2894" customWidth="1"/>
    <col min="5636" max="5636" width="26.25" style="2894" customWidth="1"/>
    <col min="5637" max="5637" width="38.25" style="2894" customWidth="1"/>
    <col min="5638" max="5889" width="9" style="2894"/>
    <col min="5890" max="5890" width="9.125" style="2894" customWidth="1"/>
    <col min="5891" max="5891" width="6.25" style="2894" customWidth="1"/>
    <col min="5892" max="5892" width="26.25" style="2894" customWidth="1"/>
    <col min="5893" max="5893" width="38.25" style="2894" customWidth="1"/>
    <col min="5894" max="6145" width="9" style="2894"/>
    <col min="6146" max="6146" width="9.125" style="2894" customWidth="1"/>
    <col min="6147" max="6147" width="6.25" style="2894" customWidth="1"/>
    <col min="6148" max="6148" width="26.25" style="2894" customWidth="1"/>
    <col min="6149" max="6149" width="38.25" style="2894" customWidth="1"/>
    <col min="6150" max="6401" width="9" style="2894"/>
    <col min="6402" max="6402" width="9.125" style="2894" customWidth="1"/>
    <col min="6403" max="6403" width="6.25" style="2894" customWidth="1"/>
    <col min="6404" max="6404" width="26.25" style="2894" customWidth="1"/>
    <col min="6405" max="6405" width="38.25" style="2894" customWidth="1"/>
    <col min="6406" max="6657" width="9" style="2894"/>
    <col min="6658" max="6658" width="9.125" style="2894" customWidth="1"/>
    <col min="6659" max="6659" width="6.25" style="2894" customWidth="1"/>
    <col min="6660" max="6660" width="26.25" style="2894" customWidth="1"/>
    <col min="6661" max="6661" width="38.25" style="2894" customWidth="1"/>
    <col min="6662" max="6913" width="9" style="2894"/>
    <col min="6914" max="6914" width="9.125" style="2894" customWidth="1"/>
    <col min="6915" max="6915" width="6.25" style="2894" customWidth="1"/>
    <col min="6916" max="6916" width="26.25" style="2894" customWidth="1"/>
    <col min="6917" max="6917" width="38.25" style="2894" customWidth="1"/>
    <col min="6918" max="7169" width="9" style="2894"/>
    <col min="7170" max="7170" width="9.125" style="2894" customWidth="1"/>
    <col min="7171" max="7171" width="6.25" style="2894" customWidth="1"/>
    <col min="7172" max="7172" width="26.25" style="2894" customWidth="1"/>
    <col min="7173" max="7173" width="38.25" style="2894" customWidth="1"/>
    <col min="7174" max="7425" width="9" style="2894"/>
    <col min="7426" max="7426" width="9.125" style="2894" customWidth="1"/>
    <col min="7427" max="7427" width="6.25" style="2894" customWidth="1"/>
    <col min="7428" max="7428" width="26.25" style="2894" customWidth="1"/>
    <col min="7429" max="7429" width="38.25" style="2894" customWidth="1"/>
    <col min="7430" max="7681" width="9" style="2894"/>
    <col min="7682" max="7682" width="9.125" style="2894" customWidth="1"/>
    <col min="7683" max="7683" width="6.25" style="2894" customWidth="1"/>
    <col min="7684" max="7684" width="26.25" style="2894" customWidth="1"/>
    <col min="7685" max="7685" width="38.25" style="2894" customWidth="1"/>
    <col min="7686" max="7937" width="9" style="2894"/>
    <col min="7938" max="7938" width="9.125" style="2894" customWidth="1"/>
    <col min="7939" max="7939" width="6.25" style="2894" customWidth="1"/>
    <col min="7940" max="7940" width="26.25" style="2894" customWidth="1"/>
    <col min="7941" max="7941" width="38.25" style="2894" customWidth="1"/>
    <col min="7942" max="8193" width="9" style="2894"/>
    <col min="8194" max="8194" width="9.125" style="2894" customWidth="1"/>
    <col min="8195" max="8195" width="6.25" style="2894" customWidth="1"/>
    <col min="8196" max="8196" width="26.25" style="2894" customWidth="1"/>
    <col min="8197" max="8197" width="38.25" style="2894" customWidth="1"/>
    <col min="8198" max="8449" width="9" style="2894"/>
    <col min="8450" max="8450" width="9.125" style="2894" customWidth="1"/>
    <col min="8451" max="8451" width="6.25" style="2894" customWidth="1"/>
    <col min="8452" max="8452" width="26.25" style="2894" customWidth="1"/>
    <col min="8453" max="8453" width="38.25" style="2894" customWidth="1"/>
    <col min="8454" max="8705" width="9" style="2894"/>
    <col min="8706" max="8706" width="9.125" style="2894" customWidth="1"/>
    <col min="8707" max="8707" width="6.25" style="2894" customWidth="1"/>
    <col min="8708" max="8708" width="26.25" style="2894" customWidth="1"/>
    <col min="8709" max="8709" width="38.25" style="2894" customWidth="1"/>
    <col min="8710" max="8961" width="9" style="2894"/>
    <col min="8962" max="8962" width="9.125" style="2894" customWidth="1"/>
    <col min="8963" max="8963" width="6.25" style="2894" customWidth="1"/>
    <col min="8964" max="8964" width="26.25" style="2894" customWidth="1"/>
    <col min="8965" max="8965" width="38.25" style="2894" customWidth="1"/>
    <col min="8966" max="9217" width="9" style="2894"/>
    <col min="9218" max="9218" width="9.125" style="2894" customWidth="1"/>
    <col min="9219" max="9219" width="6.25" style="2894" customWidth="1"/>
    <col min="9220" max="9220" width="26.25" style="2894" customWidth="1"/>
    <col min="9221" max="9221" width="38.25" style="2894" customWidth="1"/>
    <col min="9222" max="9473" width="9" style="2894"/>
    <col min="9474" max="9474" width="9.125" style="2894" customWidth="1"/>
    <col min="9475" max="9475" width="6.25" style="2894" customWidth="1"/>
    <col min="9476" max="9476" width="26.25" style="2894" customWidth="1"/>
    <col min="9477" max="9477" width="38.25" style="2894" customWidth="1"/>
    <col min="9478" max="9729" width="9" style="2894"/>
    <col min="9730" max="9730" width="9.125" style="2894" customWidth="1"/>
    <col min="9731" max="9731" width="6.25" style="2894" customWidth="1"/>
    <col min="9732" max="9732" width="26.25" style="2894" customWidth="1"/>
    <col min="9733" max="9733" width="38.25" style="2894" customWidth="1"/>
    <col min="9734" max="9985" width="9" style="2894"/>
    <col min="9986" max="9986" width="9.125" style="2894" customWidth="1"/>
    <col min="9987" max="9987" width="6.25" style="2894" customWidth="1"/>
    <col min="9988" max="9988" width="26.25" style="2894" customWidth="1"/>
    <col min="9989" max="9989" width="38.25" style="2894" customWidth="1"/>
    <col min="9990" max="10241" width="9" style="2894"/>
    <col min="10242" max="10242" width="9.125" style="2894" customWidth="1"/>
    <col min="10243" max="10243" width="6.25" style="2894" customWidth="1"/>
    <col min="10244" max="10244" width="26.25" style="2894" customWidth="1"/>
    <col min="10245" max="10245" width="38.25" style="2894" customWidth="1"/>
    <col min="10246" max="10497" width="9" style="2894"/>
    <col min="10498" max="10498" width="9.125" style="2894" customWidth="1"/>
    <col min="10499" max="10499" width="6.25" style="2894" customWidth="1"/>
    <col min="10500" max="10500" width="26.25" style="2894" customWidth="1"/>
    <col min="10501" max="10501" width="38.25" style="2894" customWidth="1"/>
    <col min="10502" max="10753" width="9" style="2894"/>
    <col min="10754" max="10754" width="9.125" style="2894" customWidth="1"/>
    <col min="10755" max="10755" width="6.25" style="2894" customWidth="1"/>
    <col min="10756" max="10756" width="26.25" style="2894" customWidth="1"/>
    <col min="10757" max="10757" width="38.25" style="2894" customWidth="1"/>
    <col min="10758" max="11009" width="9" style="2894"/>
    <col min="11010" max="11010" width="9.125" style="2894" customWidth="1"/>
    <col min="11011" max="11011" width="6.25" style="2894" customWidth="1"/>
    <col min="11012" max="11012" width="26.25" style="2894" customWidth="1"/>
    <col min="11013" max="11013" width="38.25" style="2894" customWidth="1"/>
    <col min="11014" max="11265" width="9" style="2894"/>
    <col min="11266" max="11266" width="9.125" style="2894" customWidth="1"/>
    <col min="11267" max="11267" width="6.25" style="2894" customWidth="1"/>
    <col min="11268" max="11268" width="26.25" style="2894" customWidth="1"/>
    <col min="11269" max="11269" width="38.25" style="2894" customWidth="1"/>
    <col min="11270" max="11521" width="9" style="2894"/>
    <col min="11522" max="11522" width="9.125" style="2894" customWidth="1"/>
    <col min="11523" max="11523" width="6.25" style="2894" customWidth="1"/>
    <col min="11524" max="11524" width="26.25" style="2894" customWidth="1"/>
    <col min="11525" max="11525" width="38.25" style="2894" customWidth="1"/>
    <col min="11526" max="11777" width="9" style="2894"/>
    <col min="11778" max="11778" width="9.125" style="2894" customWidth="1"/>
    <col min="11779" max="11779" width="6.25" style="2894" customWidth="1"/>
    <col min="11780" max="11780" width="26.25" style="2894" customWidth="1"/>
    <col min="11781" max="11781" width="38.25" style="2894" customWidth="1"/>
    <col min="11782" max="12033" width="9" style="2894"/>
    <col min="12034" max="12034" width="9.125" style="2894" customWidth="1"/>
    <col min="12035" max="12035" width="6.25" style="2894" customWidth="1"/>
    <col min="12036" max="12036" width="26.25" style="2894" customWidth="1"/>
    <col min="12037" max="12037" width="38.25" style="2894" customWidth="1"/>
    <col min="12038" max="12289" width="9" style="2894"/>
    <col min="12290" max="12290" width="9.125" style="2894" customWidth="1"/>
    <col min="12291" max="12291" width="6.25" style="2894" customWidth="1"/>
    <col min="12292" max="12292" width="26.25" style="2894" customWidth="1"/>
    <col min="12293" max="12293" width="38.25" style="2894" customWidth="1"/>
    <col min="12294" max="12545" width="9" style="2894"/>
    <col min="12546" max="12546" width="9.125" style="2894" customWidth="1"/>
    <col min="12547" max="12547" width="6.25" style="2894" customWidth="1"/>
    <col min="12548" max="12548" width="26.25" style="2894" customWidth="1"/>
    <col min="12549" max="12549" width="38.25" style="2894" customWidth="1"/>
    <col min="12550" max="12801" width="9" style="2894"/>
    <col min="12802" max="12802" width="9.125" style="2894" customWidth="1"/>
    <col min="12803" max="12803" width="6.25" style="2894" customWidth="1"/>
    <col min="12804" max="12804" width="26.25" style="2894" customWidth="1"/>
    <col min="12805" max="12805" width="38.25" style="2894" customWidth="1"/>
    <col min="12806" max="13057" width="9" style="2894"/>
    <col min="13058" max="13058" width="9.125" style="2894" customWidth="1"/>
    <col min="13059" max="13059" width="6.25" style="2894" customWidth="1"/>
    <col min="13060" max="13060" width="26.25" style="2894" customWidth="1"/>
    <col min="13061" max="13061" width="38.25" style="2894" customWidth="1"/>
    <col min="13062" max="13313" width="9" style="2894"/>
    <col min="13314" max="13314" width="9.125" style="2894" customWidth="1"/>
    <col min="13315" max="13315" width="6.25" style="2894" customWidth="1"/>
    <col min="13316" max="13316" width="26.25" style="2894" customWidth="1"/>
    <col min="13317" max="13317" width="38.25" style="2894" customWidth="1"/>
    <col min="13318" max="13569" width="9" style="2894"/>
    <col min="13570" max="13570" width="9.125" style="2894" customWidth="1"/>
    <col min="13571" max="13571" width="6.25" style="2894" customWidth="1"/>
    <col min="13572" max="13572" width="26.25" style="2894" customWidth="1"/>
    <col min="13573" max="13573" width="38.25" style="2894" customWidth="1"/>
    <col min="13574" max="13825" width="9" style="2894"/>
    <col min="13826" max="13826" width="9.125" style="2894" customWidth="1"/>
    <col min="13827" max="13827" width="6.25" style="2894" customWidth="1"/>
    <col min="13828" max="13828" width="26.25" style="2894" customWidth="1"/>
    <col min="13829" max="13829" width="38.25" style="2894" customWidth="1"/>
    <col min="13830" max="14081" width="9" style="2894"/>
    <col min="14082" max="14082" width="9.125" style="2894" customWidth="1"/>
    <col min="14083" max="14083" width="6.25" style="2894" customWidth="1"/>
    <col min="14084" max="14084" width="26.25" style="2894" customWidth="1"/>
    <col min="14085" max="14085" width="38.25" style="2894" customWidth="1"/>
    <col min="14086" max="14337" width="9" style="2894"/>
    <col min="14338" max="14338" width="9.125" style="2894" customWidth="1"/>
    <col min="14339" max="14339" width="6.25" style="2894" customWidth="1"/>
    <col min="14340" max="14340" width="26.25" style="2894" customWidth="1"/>
    <col min="14341" max="14341" width="38.25" style="2894" customWidth="1"/>
    <col min="14342" max="14593" width="9" style="2894"/>
    <col min="14594" max="14594" width="9.125" style="2894" customWidth="1"/>
    <col min="14595" max="14595" width="6.25" style="2894" customWidth="1"/>
    <col min="14596" max="14596" width="26.25" style="2894" customWidth="1"/>
    <col min="14597" max="14597" width="38.25" style="2894" customWidth="1"/>
    <col min="14598" max="14849" width="9" style="2894"/>
    <col min="14850" max="14850" width="9.125" style="2894" customWidth="1"/>
    <col min="14851" max="14851" width="6.25" style="2894" customWidth="1"/>
    <col min="14852" max="14852" width="26.25" style="2894" customWidth="1"/>
    <col min="14853" max="14853" width="38.25" style="2894" customWidth="1"/>
    <col min="14854" max="15105" width="9" style="2894"/>
    <col min="15106" max="15106" width="9.125" style="2894" customWidth="1"/>
    <col min="15107" max="15107" width="6.25" style="2894" customWidth="1"/>
    <col min="15108" max="15108" width="26.25" style="2894" customWidth="1"/>
    <col min="15109" max="15109" width="38.25" style="2894" customWidth="1"/>
    <col min="15110" max="15361" width="9" style="2894"/>
    <col min="15362" max="15362" width="9.125" style="2894" customWidth="1"/>
    <col min="15363" max="15363" width="6.25" style="2894" customWidth="1"/>
    <col min="15364" max="15364" width="26.25" style="2894" customWidth="1"/>
    <col min="15365" max="15365" width="38.25" style="2894" customWidth="1"/>
    <col min="15366" max="15617" width="9" style="2894"/>
    <col min="15618" max="15618" width="9.125" style="2894" customWidth="1"/>
    <col min="15619" max="15619" width="6.25" style="2894" customWidth="1"/>
    <col min="15620" max="15620" width="26.25" style="2894" customWidth="1"/>
    <col min="15621" max="15621" width="38.25" style="2894" customWidth="1"/>
    <col min="15622" max="15873" width="9" style="2894"/>
    <col min="15874" max="15874" width="9.125" style="2894" customWidth="1"/>
    <col min="15875" max="15875" width="6.25" style="2894" customWidth="1"/>
    <col min="15876" max="15876" width="26.25" style="2894" customWidth="1"/>
    <col min="15877" max="15877" width="38.25" style="2894" customWidth="1"/>
    <col min="15878" max="16129" width="9" style="2894"/>
    <col min="16130" max="16130" width="9.125" style="2894" customWidth="1"/>
    <col min="16131" max="16131" width="6.25" style="2894" customWidth="1"/>
    <col min="16132" max="16132" width="26.25" style="2894" customWidth="1"/>
    <col min="16133" max="16133" width="38.25" style="2894" customWidth="1"/>
    <col min="16134" max="16384" width="9" style="2894"/>
  </cols>
  <sheetData>
    <row r="1" spans="2:6" ht="20.25" customHeight="1">
      <c r="B1" s="3425" t="s">
        <v>3192</v>
      </c>
      <c r="C1" s="3425"/>
      <c r="D1" s="3425"/>
      <c r="E1" s="3425"/>
      <c r="F1" s="3425"/>
    </row>
    <row r="2" spans="2:6" ht="9" customHeight="1" thickBot="1">
      <c r="B2" s="3425"/>
      <c r="C2" s="3425"/>
      <c r="D2" s="3425"/>
      <c r="E2" s="3425"/>
      <c r="F2" s="3425"/>
    </row>
    <row r="3" spans="2:6" ht="19.5" customHeight="1" thickBot="1">
      <c r="B3" s="4198" t="s">
        <v>3284</v>
      </c>
      <c r="C3" s="4199"/>
      <c r="D3" s="4199"/>
      <c r="E3" s="4199"/>
      <c r="F3" s="4200"/>
    </row>
    <row r="4" spans="2:6" ht="8.25" customHeight="1" thickBot="1">
      <c r="B4" s="3425"/>
      <c r="C4" s="3425"/>
      <c r="D4" s="3425"/>
      <c r="E4" s="3425"/>
      <c r="F4" s="3425"/>
    </row>
    <row r="5" spans="2:6" ht="19.5" customHeight="1" thickBot="1">
      <c r="B5" s="3426" t="s">
        <v>1434</v>
      </c>
      <c r="C5" s="3427" t="s">
        <v>2436</v>
      </c>
      <c r="D5" s="3428" t="s">
        <v>3193</v>
      </c>
      <c r="E5" s="3429" t="s">
        <v>3194</v>
      </c>
      <c r="F5" s="3430" t="s">
        <v>3195</v>
      </c>
    </row>
    <row r="6" spans="2:6" ht="19.5" customHeight="1">
      <c r="B6" s="3431" t="s">
        <v>3285</v>
      </c>
      <c r="C6" s="3432">
        <v>5</v>
      </c>
      <c r="D6" s="3433" t="s">
        <v>3286</v>
      </c>
      <c r="E6" s="3434" t="s">
        <v>3287</v>
      </c>
      <c r="F6" s="3435" t="s">
        <v>3288</v>
      </c>
    </row>
    <row r="7" spans="2:6" ht="19.5" customHeight="1" thickBot="1">
      <c r="B7" s="3436" t="s">
        <v>3289</v>
      </c>
      <c r="C7" s="3437">
        <v>4</v>
      </c>
      <c r="D7" s="3438" t="s">
        <v>3290</v>
      </c>
      <c r="E7" s="3439" t="s">
        <v>3291</v>
      </c>
      <c r="F7" s="3440" t="s">
        <v>3292</v>
      </c>
    </row>
    <row r="8" spans="2:6" ht="6" customHeight="1" thickBot="1">
      <c r="B8" s="3441"/>
      <c r="C8" s="3441"/>
      <c r="D8" s="3442"/>
      <c r="E8" s="3443"/>
      <c r="F8" s="3443"/>
    </row>
    <row r="9" spans="2:6" ht="19.5" customHeight="1" thickBot="1">
      <c r="B9" s="2902" t="s">
        <v>1434</v>
      </c>
      <c r="C9" s="2903" t="s">
        <v>2436</v>
      </c>
      <c r="D9" s="2904" t="s">
        <v>3193</v>
      </c>
      <c r="E9" s="2905" t="s">
        <v>3194</v>
      </c>
      <c r="F9" s="2906" t="s">
        <v>3195</v>
      </c>
    </row>
    <row r="10" spans="2:6" ht="32.25" customHeight="1">
      <c r="B10" s="3422" t="str">
        <f>IF(COUNTIF(スコア!$BN:$BN,"&gt;3")&gt;=ROW(A1),INDEX(スコア!BM:BM,LARGE(INDEX((スコア!$BN$9:$BN$194&gt;3)*ROW(スコア!$BN$9:$BN$194),),COUNTIF(スコア!$BN:$BN,"&gt;3")-ROW(A1)+1)),"")</f>
        <v>Q1/2.3</v>
      </c>
      <c r="C10" s="3423">
        <f>IF(COUNTIF(スコア!$BN:$BN,"&gt;3")&gt;=ROW(B1),INDEX(スコア!BN:BN,LARGE(INDEX((スコア!$BN$9:$BN$194&gt;3)*ROW(スコア!$BN$9:$BN$194),),COUNTIF(スコア!$BN:$BN,"&gt;3")-ROW(B1)+1)),"")</f>
        <v>4</v>
      </c>
      <c r="D10" s="3424" t="str">
        <f>IF(COUNTIF(スコア!$BN:$BN,"&gt;3")&gt;=ROW(C1),INDEX(スコア!BO:BO,LARGE(INDEX((スコア!$BN$9:$BN$194&gt;3)*ROW(スコア!$BN$9:$BN$194),),COUNTIF(スコア!$BN:$BN,"&gt;3")-ROW(C1)+1)),"")</f>
        <v/>
      </c>
      <c r="E10" s="3421"/>
      <c r="F10" s="3421"/>
    </row>
    <row r="11" spans="2:6" ht="32.25" customHeight="1">
      <c r="B11" s="3422" t="str">
        <f>IF(COUNTIF(スコア!$BN:$BN,"&gt;3")&gt;=ROW(A2),INDEX(スコア!BM:BM,LARGE(INDEX((スコア!$BN$9:$BN$194&gt;3)*ROW(スコア!$BN$9:$BN$194),),COUNTIF(スコア!$BN:$BN,"&gt;3")-ROW(A2)+1)),"")</f>
        <v>LR2/3.2.1</v>
      </c>
      <c r="C11" s="3423">
        <f>IF(COUNTIF(スコア!$BN:$BN,"&gt;3")&gt;=ROW(B2),INDEX(スコア!BN:BN,LARGE(INDEX((スコア!$BN$9:$BN$194&gt;3)*ROW(スコア!$BN$9:$BN$194),),COUNTIF(スコア!$BN:$BN,"&gt;3")-ROW(B2)+1)),"")</f>
        <v>4</v>
      </c>
      <c r="D11" s="3424" t="str">
        <f>IF(COUNTIF(スコア!$BN:$BN,"&gt;3")&gt;=ROW(C2),INDEX(スコア!BO:BO,LARGE(INDEX((スコア!$BN$9:$BN$194&gt;3)*ROW(スコア!$BN$9:$BN$194),),COUNTIF(スコア!$BN:$BN,"&gt;3")-ROW(C2)+1)),"")</f>
        <v/>
      </c>
      <c r="E11" s="3421"/>
      <c r="F11" s="3421"/>
    </row>
    <row r="12" spans="2:6" ht="32.25" customHeight="1">
      <c r="B12" s="3422" t="str">
        <f>IF(COUNTIF(スコア!$BN:$BN,"&gt;3")&gt;=ROW(A3),INDEX(スコア!BM:BM,LARGE(INDEX((スコア!$BN$9:$BN$194&gt;3)*ROW(スコア!$BN$9:$BN$194),),COUNTIF(スコア!$BN:$BN,"&gt;3")-ROW(A3)+1)),"")</f>
        <v/>
      </c>
      <c r="C12" s="3423" t="str">
        <f>IF(COUNTIF(スコア!$BN:$BN,"&gt;3")&gt;=ROW(B3),INDEX(スコア!BN:BN,LARGE(INDEX((スコア!$BN$9:$BN$194&gt;3)*ROW(スコア!$BN$9:$BN$194),),COUNTIF(スコア!$BN:$BN,"&gt;3")-ROW(B3)+1)),"")</f>
        <v/>
      </c>
      <c r="D12" s="3424" t="str">
        <f>IF(COUNTIF(スコア!$BN:$BN,"&gt;3")&gt;=ROW(C3),INDEX(スコア!BO:BO,LARGE(INDEX((スコア!$BN$9:$BN$194&gt;3)*ROW(スコア!$BN$9:$BN$194),),COUNTIF(スコア!$BN:$BN,"&gt;3")-ROW(C3)+1)),"")</f>
        <v/>
      </c>
      <c r="E12" s="3421"/>
      <c r="F12" s="3421"/>
    </row>
    <row r="13" spans="2:6" ht="32.25" customHeight="1">
      <c r="B13" s="3422" t="str">
        <f>IF(COUNTIF(スコア!$BN:$BN,"&gt;3")&gt;=ROW(A4),INDEX(スコア!BM:BM,LARGE(INDEX((スコア!$BN$9:$BN$194&gt;3)*ROW(スコア!$BN$9:$BN$194),),COUNTIF(スコア!$BN:$BN,"&gt;3")-ROW(A4)+1)),"")</f>
        <v/>
      </c>
      <c r="C13" s="3423" t="str">
        <f>IF(COUNTIF(スコア!$BN:$BN,"&gt;3")&gt;=ROW(B4),INDEX(スコア!BN:BN,LARGE(INDEX((スコア!$BN$9:$BN$194&gt;3)*ROW(スコア!$BN$9:$BN$194),),COUNTIF(スコア!$BN:$BN,"&gt;3")-ROW(B4)+1)),"")</f>
        <v/>
      </c>
      <c r="D13" s="3424" t="str">
        <f>IF(COUNTIF(スコア!$BN:$BN,"&gt;3")&gt;=ROW(C4),INDEX(スコア!BO:BO,LARGE(INDEX((スコア!$BN$9:$BN$194&gt;3)*ROW(スコア!$BN$9:$BN$194),),COUNTIF(スコア!$BN:$BN,"&gt;3")-ROW(C4)+1)),"")</f>
        <v/>
      </c>
      <c r="E13" s="3421"/>
      <c r="F13" s="3421"/>
    </row>
    <row r="14" spans="2:6" ht="32.25" customHeight="1">
      <c r="B14" s="3422" t="str">
        <f>IF(COUNTIF(スコア!$BN:$BN,"&gt;3")&gt;=ROW(A5),INDEX(スコア!BM:BM,LARGE(INDEX((スコア!$BN$9:$BN$194&gt;3)*ROW(スコア!$BN$9:$BN$194),),COUNTIF(スコア!$BN:$BN,"&gt;3")-ROW(A5)+1)),"")</f>
        <v/>
      </c>
      <c r="C14" s="3423" t="str">
        <f>IF(COUNTIF(スコア!$BN:$BN,"&gt;3")&gt;=ROW(B5),INDEX(スコア!BN:BN,LARGE(INDEX((スコア!$BN$9:$BN$194&gt;3)*ROW(スコア!$BN$9:$BN$194),),COUNTIF(スコア!$BN:$BN,"&gt;3")-ROW(B5)+1)),"")</f>
        <v/>
      </c>
      <c r="D14" s="3424" t="str">
        <f>IF(COUNTIF(スコア!$BN:$BN,"&gt;3")&gt;=ROW(C5),INDEX(スコア!BO:BO,LARGE(INDEX((スコア!$BN$9:$BN$194&gt;3)*ROW(スコア!$BN$9:$BN$194),),COUNTIF(スコア!$BN:$BN,"&gt;3")-ROW(C5)+1)),"")</f>
        <v/>
      </c>
      <c r="E14" s="3421"/>
      <c r="F14" s="3421"/>
    </row>
    <row r="15" spans="2:6" ht="32.25" customHeight="1">
      <c r="B15" s="3422" t="str">
        <f>IF(COUNTIF(スコア!$BN:$BN,"&gt;3")&gt;=ROW(A6),INDEX(スコア!BM:BM,LARGE(INDEX((スコア!$BN$9:$BN$194&gt;3)*ROW(スコア!$BN$9:$BN$194),),COUNTIF(スコア!$BN:$BN,"&gt;3")-ROW(A6)+1)),"")</f>
        <v/>
      </c>
      <c r="C15" s="3423" t="str">
        <f>IF(COUNTIF(スコア!$BN:$BN,"&gt;3")&gt;=ROW(B6),INDEX(スコア!BN:BN,LARGE(INDEX((スコア!$BN$9:$BN$194&gt;3)*ROW(スコア!$BN$9:$BN$194),),COUNTIF(スコア!$BN:$BN,"&gt;3")-ROW(B6)+1)),"")</f>
        <v/>
      </c>
      <c r="D15" s="3424" t="str">
        <f>IF(COUNTIF(スコア!$BN:$BN,"&gt;3")&gt;=ROW(C6),INDEX(スコア!BO:BO,LARGE(INDEX((スコア!$BN$9:$BN$194&gt;3)*ROW(スコア!$BN$9:$BN$194),),COUNTIF(スコア!$BN:$BN,"&gt;3")-ROW(C6)+1)),"")</f>
        <v/>
      </c>
      <c r="E15" s="3421"/>
      <c r="F15" s="3421"/>
    </row>
    <row r="16" spans="2:6" ht="32.25" customHeight="1">
      <c r="B16" s="3422" t="str">
        <f>IF(COUNTIF(スコア!$BN:$BN,"&gt;3")&gt;=ROW(A7),INDEX(スコア!BM:BM,LARGE(INDEX((スコア!$BN$9:$BN$194&gt;3)*ROW(スコア!$BN$9:$BN$194),),COUNTIF(スコア!$BN:$BN,"&gt;3")-ROW(A7)+1)),"")</f>
        <v/>
      </c>
      <c r="C16" s="3423" t="str">
        <f>IF(COUNTIF(スコア!$BN:$BN,"&gt;3")&gt;=ROW(B7),INDEX(スコア!BN:BN,LARGE(INDEX((スコア!$BN$9:$BN$194&gt;3)*ROW(スコア!$BN$9:$BN$194),),COUNTIF(スコア!$BN:$BN,"&gt;3")-ROW(B7)+1)),"")</f>
        <v/>
      </c>
      <c r="D16" s="3424" t="str">
        <f>IF(COUNTIF(スコア!$BN:$BN,"&gt;3")&gt;=ROW(C7),INDEX(スコア!BO:BO,LARGE(INDEX((スコア!$BN$9:$BN$194&gt;3)*ROW(スコア!$BN$9:$BN$194),),COUNTIF(スコア!$BN:$BN,"&gt;3")-ROW(C7)+1)),"")</f>
        <v/>
      </c>
      <c r="E16" s="3421"/>
      <c r="F16" s="3421"/>
    </row>
    <row r="17" spans="2:6" ht="32.25" customHeight="1">
      <c r="B17" s="3422" t="str">
        <f>IF(COUNTIF(スコア!$BN:$BN,"&gt;3")&gt;=ROW(A8),INDEX(スコア!BM:BM,LARGE(INDEX((スコア!$BN$9:$BN$194&gt;3)*ROW(スコア!$BN$9:$BN$194),),COUNTIF(スコア!$BN:$BN,"&gt;3")-ROW(A8)+1)),"")</f>
        <v/>
      </c>
      <c r="C17" s="3423" t="str">
        <f>IF(COUNTIF(スコア!$BN:$BN,"&gt;3")&gt;=ROW(B8),INDEX(スコア!BN:BN,LARGE(INDEX((スコア!$BN$9:$BN$194&gt;3)*ROW(スコア!$BN$9:$BN$194),),COUNTIF(スコア!$BN:$BN,"&gt;3")-ROW(B8)+1)),"")</f>
        <v/>
      </c>
      <c r="D17" s="3424" t="str">
        <f>IF(COUNTIF(スコア!$BN:$BN,"&gt;3")&gt;=ROW(C8),INDEX(スコア!BO:BO,LARGE(INDEX((スコア!$BN$9:$BN$194&gt;3)*ROW(スコア!$BN$9:$BN$194),),COUNTIF(スコア!$BN:$BN,"&gt;3")-ROW(C8)+1)),"")</f>
        <v/>
      </c>
      <c r="E17" s="3421"/>
      <c r="F17" s="3421"/>
    </row>
    <row r="18" spans="2:6" ht="32.25" customHeight="1">
      <c r="B18" s="3422" t="str">
        <f>IF(COUNTIF(スコア!$BN:$BN,"&gt;3")&gt;=ROW(A9),INDEX(スコア!BM:BM,LARGE(INDEX((スコア!$BN$9:$BN$194&gt;3)*ROW(スコア!$BN$9:$BN$194),),COUNTIF(スコア!$BN:$BN,"&gt;3")-ROW(A9)+1)),"")</f>
        <v/>
      </c>
      <c r="C18" s="3423" t="str">
        <f>IF(COUNTIF(スコア!$BN:$BN,"&gt;3")&gt;=ROW(B9),INDEX(スコア!BN:BN,LARGE(INDEX((スコア!$BN$9:$BN$194&gt;3)*ROW(スコア!$BN$9:$BN$194),),COUNTIF(スコア!$BN:$BN,"&gt;3")-ROW(B9)+1)),"")</f>
        <v/>
      </c>
      <c r="D18" s="3424" t="str">
        <f>IF(COUNTIF(スコア!$BN:$BN,"&gt;3")&gt;=ROW(C9),INDEX(スコア!BO:BO,LARGE(INDEX((スコア!$BN$9:$BN$194&gt;3)*ROW(スコア!$BN$9:$BN$194),),COUNTIF(スコア!$BN:$BN,"&gt;3")-ROW(C9)+1)),"")</f>
        <v/>
      </c>
      <c r="E18" s="3421"/>
      <c r="F18" s="3421"/>
    </row>
    <row r="19" spans="2:6" ht="32.25" customHeight="1">
      <c r="B19" s="3422" t="str">
        <f>IF(COUNTIF(スコア!$BN:$BN,"&gt;3")&gt;=ROW(A10),INDEX(スコア!BM:BM,LARGE(INDEX((スコア!$BN$9:$BN$194&gt;3)*ROW(スコア!$BN$9:$BN$194),),COUNTIF(スコア!$BN:$BN,"&gt;3")-ROW(A10)+1)),"")</f>
        <v/>
      </c>
      <c r="C19" s="3423" t="str">
        <f>IF(COUNTIF(スコア!$BN:$BN,"&gt;3")&gt;=ROW(B10),INDEX(スコア!BN:BN,LARGE(INDEX((スコア!$BN$9:$BN$194&gt;3)*ROW(スコア!$BN$9:$BN$194),),COUNTIF(スコア!$BN:$BN,"&gt;3")-ROW(B10)+1)),"")</f>
        <v/>
      </c>
      <c r="D19" s="3424" t="str">
        <f>IF(COUNTIF(スコア!$BN:$BN,"&gt;3")&gt;=ROW(C10),INDEX(スコア!BO:BO,LARGE(INDEX((スコア!$BN$9:$BN$194&gt;3)*ROW(スコア!$BN$9:$BN$194),),COUNTIF(スコア!$BN:$BN,"&gt;3")-ROW(C10)+1)),"")</f>
        <v/>
      </c>
      <c r="E19" s="3421"/>
      <c r="F19" s="3421"/>
    </row>
    <row r="20" spans="2:6" ht="32.25" customHeight="1">
      <c r="B20" s="3422" t="str">
        <f>IF(COUNTIF(スコア!$BN:$BN,"&gt;3")&gt;=ROW(A11),INDEX(スコア!BM:BM,LARGE(INDEX((スコア!$BN$9:$BN$194&gt;3)*ROW(スコア!$BN$9:$BN$194),),COUNTIF(スコア!$BN:$BN,"&gt;3")-ROW(A11)+1)),"")</f>
        <v/>
      </c>
      <c r="C20" s="3423" t="str">
        <f>IF(COUNTIF(スコア!$BN:$BN,"&gt;3")&gt;=ROW(B11),INDEX(スコア!BN:BN,LARGE(INDEX((スコア!$BN$9:$BN$194&gt;3)*ROW(スコア!$BN$9:$BN$194),),COUNTIF(スコア!$BN:$BN,"&gt;3")-ROW(B11)+1)),"")</f>
        <v/>
      </c>
      <c r="D20" s="3424" t="str">
        <f>IF(COUNTIF(スコア!$BN:$BN,"&gt;3")&gt;=ROW(C11),INDEX(スコア!BO:BO,LARGE(INDEX((スコア!$BN$9:$BN$194&gt;3)*ROW(スコア!$BN$9:$BN$194),),COUNTIF(スコア!$BN:$BN,"&gt;3")-ROW(C11)+1)),"")</f>
        <v/>
      </c>
      <c r="E20" s="3421"/>
      <c r="F20" s="3421"/>
    </row>
    <row r="21" spans="2:6" ht="32.25" customHeight="1">
      <c r="B21" s="3422" t="str">
        <f>IF(COUNTIF(スコア!$BN:$BN,"&gt;3")&gt;=ROW(A12),INDEX(スコア!BM:BM,LARGE(INDEX((スコア!$BN$9:$BN$194&gt;3)*ROW(スコア!$BN$9:$BN$194),),COUNTIF(スコア!$BN:$BN,"&gt;3")-ROW(A12)+1)),"")</f>
        <v/>
      </c>
      <c r="C21" s="3423" t="str">
        <f>IF(COUNTIF(スコア!$BN:$BN,"&gt;3")&gt;=ROW(B12),INDEX(スコア!BN:BN,LARGE(INDEX((スコア!$BN$9:$BN$194&gt;3)*ROW(スコア!$BN$9:$BN$194),),COUNTIF(スコア!$BN:$BN,"&gt;3")-ROW(B12)+1)),"")</f>
        <v/>
      </c>
      <c r="D21" s="3424" t="str">
        <f>IF(COUNTIF(スコア!$BN:$BN,"&gt;3")&gt;=ROW(C12),INDEX(スコア!BO:BO,LARGE(INDEX((スコア!$BN$9:$BN$194&gt;3)*ROW(スコア!$BN$9:$BN$194),),COUNTIF(スコア!$BN:$BN,"&gt;3")-ROW(C12)+1)),"")</f>
        <v/>
      </c>
      <c r="E21" s="3421"/>
      <c r="F21" s="3421"/>
    </row>
    <row r="22" spans="2:6" ht="32.25" customHeight="1">
      <c r="B22" s="3422" t="str">
        <f>IF(COUNTIF(スコア!$BN:$BN,"&gt;3")&gt;=ROW(A13),INDEX(スコア!BM:BM,LARGE(INDEX((スコア!$BN$9:$BN$194&gt;3)*ROW(スコア!$BN$9:$BN$194),),COUNTIF(スコア!$BN:$BN,"&gt;3")-ROW(A13)+1)),"")</f>
        <v/>
      </c>
      <c r="C22" s="3423" t="str">
        <f>IF(COUNTIF(スコア!$BN:$BN,"&gt;3")&gt;=ROW(B13),INDEX(スコア!BN:BN,LARGE(INDEX((スコア!$BN$9:$BN$194&gt;3)*ROW(スコア!$BN$9:$BN$194),),COUNTIF(スコア!$BN:$BN,"&gt;3")-ROW(B13)+1)),"")</f>
        <v/>
      </c>
      <c r="D22" s="3424" t="str">
        <f>IF(COUNTIF(スコア!$BN:$BN,"&gt;3")&gt;=ROW(C13),INDEX(スコア!BO:BO,LARGE(INDEX((スコア!$BN$9:$BN$194&gt;3)*ROW(スコア!$BN$9:$BN$194),),COUNTIF(スコア!$BN:$BN,"&gt;3")-ROW(C13)+1)),"")</f>
        <v/>
      </c>
      <c r="E22" s="3421"/>
      <c r="F22" s="3421"/>
    </row>
    <row r="23" spans="2:6" ht="32.25" customHeight="1">
      <c r="B23" s="3422" t="str">
        <f>IF(COUNTIF(スコア!$BN:$BN,"&gt;3")&gt;=ROW(A14),INDEX(スコア!BM:BM,LARGE(INDEX((スコア!$BN$9:$BN$194&gt;3)*ROW(スコア!$BN$9:$BN$194),),COUNTIF(スコア!$BN:$BN,"&gt;3")-ROW(A14)+1)),"")</f>
        <v/>
      </c>
      <c r="C23" s="3423" t="str">
        <f>IF(COUNTIF(スコア!$BN:$BN,"&gt;3")&gt;=ROW(B14),INDEX(スコア!BN:BN,LARGE(INDEX((スコア!$BN$9:$BN$194&gt;3)*ROW(スコア!$BN$9:$BN$194),),COUNTIF(スコア!$BN:$BN,"&gt;3")-ROW(B14)+1)),"")</f>
        <v/>
      </c>
      <c r="D23" s="3424" t="str">
        <f>IF(COUNTIF(スコア!$BN:$BN,"&gt;3")&gt;=ROW(C14),INDEX(スコア!BO:BO,LARGE(INDEX((スコア!$BN$9:$BN$194&gt;3)*ROW(スコア!$BN$9:$BN$194),),COUNTIF(スコア!$BN:$BN,"&gt;3")-ROW(C14)+1)),"")</f>
        <v/>
      </c>
      <c r="E23" s="3421"/>
      <c r="F23" s="3421"/>
    </row>
    <row r="24" spans="2:6" ht="32.25" customHeight="1">
      <c r="B24" s="3422" t="str">
        <f>IF(COUNTIF(スコア!$BN:$BN,"&gt;3")&gt;=ROW(A15),INDEX(スコア!BM:BM,LARGE(INDEX((スコア!$BN$9:$BN$194&gt;3)*ROW(スコア!$BN$9:$BN$194),),COUNTIF(スコア!$BN:$BN,"&gt;3")-ROW(A15)+1)),"")</f>
        <v/>
      </c>
      <c r="C24" s="3423" t="str">
        <f>IF(COUNTIF(スコア!$BN:$BN,"&gt;3")&gt;=ROW(B15),INDEX(スコア!BN:BN,LARGE(INDEX((スコア!$BN$9:$BN$194&gt;3)*ROW(スコア!$BN$9:$BN$194),),COUNTIF(スコア!$BN:$BN,"&gt;3")-ROW(B15)+1)),"")</f>
        <v/>
      </c>
      <c r="D24" s="3424" t="str">
        <f>IF(COUNTIF(スコア!$BN:$BN,"&gt;3")&gt;=ROW(C15),INDEX(スコア!BO:BO,LARGE(INDEX((スコア!$BN$9:$BN$194&gt;3)*ROW(スコア!$BN$9:$BN$194),),COUNTIF(スコア!$BN:$BN,"&gt;3")-ROW(C15)+1)),"")</f>
        <v/>
      </c>
      <c r="E24" s="3421"/>
      <c r="F24" s="3421"/>
    </row>
    <row r="25" spans="2:6" ht="32.25" customHeight="1">
      <c r="B25" s="3422" t="str">
        <f>IF(COUNTIF(スコア!$BN:$BN,"&gt;3")&gt;=ROW(A16),INDEX(スコア!BM:BM,LARGE(INDEX((スコア!$BN$9:$BN$194&gt;3)*ROW(スコア!$BN$9:$BN$194),),COUNTIF(スコア!$BN:$BN,"&gt;3")-ROW(A16)+1)),"")</f>
        <v/>
      </c>
      <c r="C25" s="3423" t="str">
        <f>IF(COUNTIF(スコア!$BN:$BN,"&gt;3")&gt;=ROW(B16),INDEX(スコア!BN:BN,LARGE(INDEX((スコア!$BN$9:$BN$194&gt;3)*ROW(スコア!$BN$9:$BN$194),),COUNTIF(スコア!$BN:$BN,"&gt;3")-ROW(B16)+1)),"")</f>
        <v/>
      </c>
      <c r="D25" s="3424" t="str">
        <f>IF(COUNTIF(スコア!$BN:$BN,"&gt;3")&gt;=ROW(C16),INDEX(スコア!BO:BO,LARGE(INDEX((スコア!$BN$9:$BN$194&gt;3)*ROW(スコア!$BN$9:$BN$194),),COUNTIF(スコア!$BN:$BN,"&gt;3")-ROW(C16)+1)),"")</f>
        <v/>
      </c>
      <c r="E25" s="3421"/>
      <c r="F25" s="3421"/>
    </row>
    <row r="26" spans="2:6" ht="32.25" customHeight="1">
      <c r="B26" s="3422" t="str">
        <f>IF(COUNTIF(スコア!$BN:$BN,"&gt;3")&gt;=ROW(A17),INDEX(スコア!BM:BM,LARGE(INDEX((スコア!$BN$9:$BN$194&gt;3)*ROW(スコア!$BN$9:$BN$194),),COUNTIF(スコア!$BN:$BN,"&gt;3")-ROW(A17)+1)),"")</f>
        <v/>
      </c>
      <c r="C26" s="3423" t="str">
        <f>IF(COUNTIF(スコア!$BN:$BN,"&gt;3")&gt;=ROW(B17),INDEX(スコア!BN:BN,LARGE(INDEX((スコア!$BN$9:$BN$194&gt;3)*ROW(スコア!$BN$9:$BN$194),),COUNTIF(スコア!$BN:$BN,"&gt;3")-ROW(B17)+1)),"")</f>
        <v/>
      </c>
      <c r="D26" s="3424" t="str">
        <f>IF(COUNTIF(スコア!$BN:$BN,"&gt;3")&gt;=ROW(C17),INDEX(スコア!BO:BO,LARGE(INDEX((スコア!$BN$9:$BN$194&gt;3)*ROW(スコア!$BN$9:$BN$194),),COUNTIF(スコア!$BN:$BN,"&gt;3")-ROW(C17)+1)),"")</f>
        <v/>
      </c>
      <c r="E26" s="3421"/>
      <c r="F26" s="3421"/>
    </row>
    <row r="27" spans="2:6" ht="32.25" customHeight="1">
      <c r="B27" s="3422" t="str">
        <f>IF(COUNTIF(スコア!$BN:$BN,"&gt;3")&gt;=ROW(A18),INDEX(スコア!BM:BM,LARGE(INDEX((スコア!$BN$9:$BN$194&gt;3)*ROW(スコア!$BN$9:$BN$194),),COUNTIF(スコア!$BN:$BN,"&gt;3")-ROW(A18)+1)),"")</f>
        <v/>
      </c>
      <c r="C27" s="3423" t="str">
        <f>IF(COUNTIF(スコア!$BN:$BN,"&gt;3")&gt;=ROW(B18),INDEX(スコア!BN:BN,LARGE(INDEX((スコア!$BN$9:$BN$194&gt;3)*ROW(スコア!$BN$9:$BN$194),),COUNTIF(スコア!$BN:$BN,"&gt;3")-ROW(B18)+1)),"")</f>
        <v/>
      </c>
      <c r="D27" s="3424" t="str">
        <f>IF(COUNTIF(スコア!$BN:$BN,"&gt;3")&gt;=ROW(C18),INDEX(スコア!BO:BO,LARGE(INDEX((スコア!$BN$9:$BN$194&gt;3)*ROW(スコア!$BN$9:$BN$194),),COUNTIF(スコア!$BN:$BN,"&gt;3")-ROW(C18)+1)),"")</f>
        <v/>
      </c>
      <c r="E27" s="3421"/>
      <c r="F27" s="3421"/>
    </row>
    <row r="28" spans="2:6" ht="32.25" customHeight="1">
      <c r="B28" s="3422" t="str">
        <f>IF(COUNTIF(スコア!$BN:$BN,"&gt;3")&gt;=ROW(A19),INDEX(スコア!BM:BM,LARGE(INDEX((スコア!$BN$9:$BN$194&gt;3)*ROW(スコア!$BN$9:$BN$194),),COUNTIF(スコア!$BN:$BN,"&gt;3")-ROW(A19)+1)),"")</f>
        <v/>
      </c>
      <c r="C28" s="3423" t="str">
        <f>IF(COUNTIF(スコア!$BN:$BN,"&gt;3")&gt;=ROW(B19),INDEX(スコア!BN:BN,LARGE(INDEX((スコア!$BN$9:$BN$194&gt;3)*ROW(スコア!$BN$9:$BN$194),),COUNTIF(スコア!$BN:$BN,"&gt;3")-ROW(B19)+1)),"")</f>
        <v/>
      </c>
      <c r="D28" s="3424" t="str">
        <f>IF(COUNTIF(スコア!$BN:$BN,"&gt;3")&gt;=ROW(C19),INDEX(スコア!BO:BO,LARGE(INDEX((スコア!$BN$9:$BN$194&gt;3)*ROW(スコア!$BN$9:$BN$194),),COUNTIF(スコア!$BN:$BN,"&gt;3")-ROW(C19)+1)),"")</f>
        <v/>
      </c>
      <c r="E28" s="3421"/>
      <c r="F28" s="3421"/>
    </row>
    <row r="29" spans="2:6" ht="32.25" customHeight="1">
      <c r="B29" s="3422" t="str">
        <f>IF(COUNTIF(スコア!$BN:$BN,"&gt;3")&gt;=ROW(A20),INDEX(スコア!BM:BM,LARGE(INDEX((スコア!$BN$9:$BN$194&gt;3)*ROW(スコア!$BN$9:$BN$194),),COUNTIF(スコア!$BN:$BN,"&gt;3")-ROW(A20)+1)),"")</f>
        <v/>
      </c>
      <c r="C29" s="3423" t="str">
        <f>IF(COUNTIF(スコア!$BN:$BN,"&gt;3")&gt;=ROW(B20),INDEX(スコア!BN:BN,LARGE(INDEX((スコア!$BN$9:$BN$194&gt;3)*ROW(スコア!$BN$9:$BN$194),),COUNTIF(スコア!$BN:$BN,"&gt;3")-ROW(B20)+1)),"")</f>
        <v/>
      </c>
      <c r="D29" s="3424" t="str">
        <f>IF(COUNTIF(スコア!$BN:$BN,"&gt;3")&gt;=ROW(C20),INDEX(スコア!BO:BO,LARGE(INDEX((スコア!$BN$9:$BN$194&gt;3)*ROW(スコア!$BN$9:$BN$194),),COUNTIF(スコア!$BN:$BN,"&gt;3")-ROW(C20)+1)),"")</f>
        <v/>
      </c>
      <c r="E29" s="3421"/>
      <c r="F29" s="3421"/>
    </row>
    <row r="30" spans="2:6" ht="32.25" customHeight="1">
      <c r="B30" s="3422" t="str">
        <f>IF(COUNTIF(スコア!$BN:$BN,"&gt;3")&gt;=ROW(A21),INDEX(スコア!BM:BM,LARGE(INDEX((スコア!$BN$9:$BN$194&gt;3)*ROW(スコア!$BN$9:$BN$194),),COUNTIF(スコア!$BN:$BN,"&gt;3")-ROW(A21)+1)),"")</f>
        <v/>
      </c>
      <c r="C30" s="3423" t="str">
        <f>IF(COUNTIF(スコア!$BN:$BN,"&gt;3")&gt;=ROW(B21),INDEX(スコア!BN:BN,LARGE(INDEX((スコア!$BN$9:$BN$194&gt;3)*ROW(スコア!$BN$9:$BN$194),),COUNTIF(スコア!$BN:$BN,"&gt;3")-ROW(B21)+1)),"")</f>
        <v/>
      </c>
      <c r="D30" s="3424" t="str">
        <f>IF(COUNTIF(スコア!$BN:$BN,"&gt;3")&gt;=ROW(C21),INDEX(スコア!BO:BO,LARGE(INDEX((スコア!$BN$9:$BN$194&gt;3)*ROW(スコア!$BN$9:$BN$194),),COUNTIF(スコア!$BN:$BN,"&gt;3")-ROW(C21)+1)),"")</f>
        <v/>
      </c>
      <c r="E30" s="3421"/>
      <c r="F30" s="3421"/>
    </row>
    <row r="31" spans="2:6" ht="32.25" customHeight="1">
      <c r="B31" s="3422" t="str">
        <f>IF(COUNTIF(スコア!$BN:$BN,"&gt;3")&gt;=ROW(A22),INDEX(スコア!BM:BM,LARGE(INDEX((スコア!$BN$9:$BN$194&gt;3)*ROW(スコア!$BN$9:$BN$194),),COUNTIF(スコア!$BN:$BN,"&gt;3")-ROW(A22)+1)),"")</f>
        <v/>
      </c>
      <c r="C31" s="3423" t="str">
        <f>IF(COUNTIF(スコア!$BN:$BN,"&gt;3")&gt;=ROW(B22),INDEX(スコア!BN:BN,LARGE(INDEX((スコア!$BN$9:$BN$194&gt;3)*ROW(スコア!$BN$9:$BN$194),),COUNTIF(スコア!$BN:$BN,"&gt;3")-ROW(B22)+1)),"")</f>
        <v/>
      </c>
      <c r="D31" s="3424" t="str">
        <f>IF(COUNTIF(スコア!$BN:$BN,"&gt;3")&gt;=ROW(C22),INDEX(スコア!BO:BO,LARGE(INDEX((スコア!$BN$9:$BN$194&gt;3)*ROW(スコア!$BN$9:$BN$194),),COUNTIF(スコア!$BN:$BN,"&gt;3")-ROW(C22)+1)),"")</f>
        <v/>
      </c>
      <c r="E31" s="3421"/>
      <c r="F31" s="3421"/>
    </row>
    <row r="32" spans="2:6" ht="32.25" customHeight="1">
      <c r="B32" s="3422" t="str">
        <f>IF(COUNTIF(スコア!$BN:$BN,"&gt;3")&gt;=ROW(A23),INDEX(スコア!BM:BM,LARGE(INDEX((スコア!$BN$9:$BN$194&gt;3)*ROW(スコア!$BN$9:$BN$194),),COUNTIF(スコア!$BN:$BN,"&gt;3")-ROW(A23)+1)),"")</f>
        <v/>
      </c>
      <c r="C32" s="3423" t="str">
        <f>IF(COUNTIF(スコア!$BN:$BN,"&gt;3")&gt;=ROW(B23),INDEX(スコア!BN:BN,LARGE(INDEX((スコア!$BN$9:$BN$194&gt;3)*ROW(スコア!$BN$9:$BN$194),),COUNTIF(スコア!$BN:$BN,"&gt;3")-ROW(B23)+1)),"")</f>
        <v/>
      </c>
      <c r="D32" s="3424" t="str">
        <f>IF(COUNTIF(スコア!$BN:$BN,"&gt;3")&gt;=ROW(C23),INDEX(スコア!BO:BO,LARGE(INDEX((スコア!$BN$9:$BN$194&gt;3)*ROW(スコア!$BN$9:$BN$194),),COUNTIF(スコア!$BN:$BN,"&gt;3")-ROW(C23)+1)),"")</f>
        <v/>
      </c>
      <c r="E32" s="3421"/>
      <c r="F32" s="3421"/>
    </row>
    <row r="33" spans="2:6" ht="32.25" customHeight="1">
      <c r="B33" s="3422" t="str">
        <f>IF(COUNTIF(スコア!$BN:$BN,"&gt;3")&gt;=ROW(A24),INDEX(スコア!BM:BM,LARGE(INDEX((スコア!$BN$9:$BN$194&gt;3)*ROW(スコア!$BN$9:$BN$194),),COUNTIF(スコア!$BN:$BN,"&gt;3")-ROW(A24)+1)),"")</f>
        <v/>
      </c>
      <c r="C33" s="3423" t="str">
        <f>IF(COUNTIF(スコア!$BN:$BN,"&gt;3")&gt;=ROW(B24),INDEX(スコア!BN:BN,LARGE(INDEX((スコア!$BN$9:$BN$194&gt;3)*ROW(スコア!$BN$9:$BN$194),),COUNTIF(スコア!$BN:$BN,"&gt;3")-ROW(B24)+1)),"")</f>
        <v/>
      </c>
      <c r="D33" s="3424" t="str">
        <f>IF(COUNTIF(スコア!$BN:$BN,"&gt;3")&gt;=ROW(C24),INDEX(スコア!BO:BO,LARGE(INDEX((スコア!$BN$9:$BN$194&gt;3)*ROW(スコア!$BN$9:$BN$194),),COUNTIF(スコア!$BN:$BN,"&gt;3")-ROW(C24)+1)),"")</f>
        <v/>
      </c>
      <c r="E33" s="3421"/>
      <c r="F33" s="3421"/>
    </row>
    <row r="34" spans="2:6" ht="32.25" customHeight="1">
      <c r="B34" s="3422" t="str">
        <f>IF(COUNTIF(スコア!$BN:$BN,"&gt;3")&gt;=ROW(A25),INDEX(スコア!BM:BM,LARGE(INDEX((スコア!$BN$9:$BN$194&gt;3)*ROW(スコア!$BN$9:$BN$194),),COUNTIF(スコア!$BN:$BN,"&gt;3")-ROW(A25)+1)),"")</f>
        <v/>
      </c>
      <c r="C34" s="3423" t="str">
        <f>IF(COUNTIF(スコア!$BN:$BN,"&gt;3")&gt;=ROW(B25),INDEX(スコア!BN:BN,LARGE(INDEX((スコア!$BN$9:$BN$194&gt;3)*ROW(スコア!$BN$9:$BN$194),),COUNTIF(スコア!$BN:$BN,"&gt;3")-ROW(B25)+1)),"")</f>
        <v/>
      </c>
      <c r="D34" s="3424" t="str">
        <f>IF(COUNTIF(スコア!$BN:$BN,"&gt;3")&gt;=ROW(C25),INDEX(スコア!BO:BO,LARGE(INDEX((スコア!$BN$9:$BN$194&gt;3)*ROW(スコア!$BN$9:$BN$194),),COUNTIF(スコア!$BN:$BN,"&gt;3")-ROW(C25)+1)),"")</f>
        <v/>
      </c>
      <c r="E34" s="3421"/>
      <c r="F34" s="3421"/>
    </row>
    <row r="35" spans="2:6" ht="32.25" customHeight="1">
      <c r="B35" s="3422" t="str">
        <f>IF(COUNTIF(スコア!$BN:$BN,"&gt;3")&gt;=ROW(A26),INDEX(スコア!BM:BM,LARGE(INDEX((スコア!$BN$9:$BN$194&gt;3)*ROW(スコア!$BN$9:$BN$194),),COUNTIF(スコア!$BN:$BN,"&gt;3")-ROW(A26)+1)),"")</f>
        <v/>
      </c>
      <c r="C35" s="3423" t="str">
        <f>IF(COUNTIF(スコア!$BN:$BN,"&gt;3")&gt;=ROW(B26),INDEX(スコア!BN:BN,LARGE(INDEX((スコア!$BN$9:$BN$194&gt;3)*ROW(スコア!$BN$9:$BN$194),),COUNTIF(スコア!$BN:$BN,"&gt;3")-ROW(B26)+1)),"")</f>
        <v/>
      </c>
      <c r="D35" s="3424" t="str">
        <f>IF(COUNTIF(スコア!$BN:$BN,"&gt;3")&gt;=ROW(C26),INDEX(スコア!BO:BO,LARGE(INDEX((スコア!$BN$9:$BN$194&gt;3)*ROW(スコア!$BN$9:$BN$194),),COUNTIF(スコア!$BN:$BN,"&gt;3")-ROW(C26)+1)),"")</f>
        <v/>
      </c>
      <c r="E35" s="3421"/>
      <c r="F35" s="3421"/>
    </row>
    <row r="36" spans="2:6" ht="32.25" customHeight="1">
      <c r="B36" s="3422" t="str">
        <f>IF(COUNTIF(スコア!$BN:$BN,"&gt;3")&gt;=ROW(A27),INDEX(スコア!BM:BM,LARGE(INDEX((スコア!$BN$9:$BN$194&gt;3)*ROW(スコア!$BN$9:$BN$194),),COUNTIF(スコア!$BN:$BN,"&gt;3")-ROW(A27)+1)),"")</f>
        <v/>
      </c>
      <c r="C36" s="3423" t="str">
        <f>IF(COUNTIF(スコア!$BN:$BN,"&gt;3")&gt;=ROW(B27),INDEX(スコア!BN:BN,LARGE(INDEX((スコア!$BN$9:$BN$194&gt;3)*ROW(スコア!$BN$9:$BN$194),),COUNTIF(スコア!$BN:$BN,"&gt;3")-ROW(B27)+1)),"")</f>
        <v/>
      </c>
      <c r="D36" s="3424" t="str">
        <f>IF(COUNTIF(スコア!$BN:$BN,"&gt;3")&gt;=ROW(C27),INDEX(スコア!BO:BO,LARGE(INDEX((スコア!$BN$9:$BN$194&gt;3)*ROW(スコア!$BN$9:$BN$194),),COUNTIF(スコア!$BN:$BN,"&gt;3")-ROW(C27)+1)),"")</f>
        <v/>
      </c>
      <c r="E36" s="3421"/>
      <c r="F36" s="3421"/>
    </row>
    <row r="37" spans="2:6" ht="32.25" customHeight="1">
      <c r="B37" s="3422" t="str">
        <f>IF(COUNTIF(スコア!$BN:$BN,"&gt;3")&gt;=ROW(A28),INDEX(スコア!BM:BM,LARGE(INDEX((スコア!$BN$9:$BN$194&gt;3)*ROW(スコア!$BN$9:$BN$194),),COUNTIF(スコア!$BN:$BN,"&gt;3")-ROW(A28)+1)),"")</f>
        <v/>
      </c>
      <c r="C37" s="3423" t="str">
        <f>IF(COUNTIF(スコア!$BN:$BN,"&gt;3")&gt;=ROW(B28),INDEX(スコア!BN:BN,LARGE(INDEX((スコア!$BN$9:$BN$194&gt;3)*ROW(スコア!$BN$9:$BN$194),),COUNTIF(スコア!$BN:$BN,"&gt;3")-ROW(B28)+1)),"")</f>
        <v/>
      </c>
      <c r="D37" s="3424" t="str">
        <f>IF(COUNTIF(スコア!$BN:$BN,"&gt;3")&gt;=ROW(C28),INDEX(スコア!BO:BO,LARGE(INDEX((スコア!$BN$9:$BN$194&gt;3)*ROW(スコア!$BN$9:$BN$194),),COUNTIF(スコア!$BN:$BN,"&gt;3")-ROW(C28)+1)),"")</f>
        <v/>
      </c>
      <c r="E37" s="3421"/>
      <c r="F37" s="3421"/>
    </row>
    <row r="38" spans="2:6" ht="32.25" customHeight="1">
      <c r="B38" s="3422" t="str">
        <f>IF(COUNTIF(スコア!$BN:$BN,"&gt;3")&gt;=ROW(A29),INDEX(スコア!BM:BM,LARGE(INDEX((スコア!$BN$9:$BN$194&gt;3)*ROW(スコア!$BN$9:$BN$194),),COUNTIF(スコア!$BN:$BN,"&gt;3")-ROW(A29)+1)),"")</f>
        <v/>
      </c>
      <c r="C38" s="3423" t="str">
        <f>IF(COUNTIF(スコア!$BN:$BN,"&gt;3")&gt;=ROW(B29),INDEX(スコア!BN:BN,LARGE(INDEX((スコア!$BN$9:$BN$194&gt;3)*ROW(スコア!$BN$9:$BN$194),),COUNTIF(スコア!$BN:$BN,"&gt;3")-ROW(B29)+1)),"")</f>
        <v/>
      </c>
      <c r="D38" s="3424" t="str">
        <f>IF(COUNTIF(スコア!$BN:$BN,"&gt;3")&gt;=ROW(C29),INDEX(スコア!BO:BO,LARGE(INDEX((スコア!$BN$9:$BN$194&gt;3)*ROW(スコア!$BN$9:$BN$194),),COUNTIF(スコア!$BN:$BN,"&gt;3")-ROW(C29)+1)),"")</f>
        <v/>
      </c>
      <c r="E38" s="3421"/>
      <c r="F38" s="3421"/>
    </row>
    <row r="39" spans="2:6" ht="32.25" customHeight="1">
      <c r="B39" s="3422" t="str">
        <f>IF(COUNTIF(スコア!$BN:$BN,"&gt;3")&gt;=ROW(A30),INDEX(スコア!BM:BM,LARGE(INDEX((スコア!$BN$9:$BN$194&gt;3)*ROW(スコア!$BN$9:$BN$194),),COUNTIF(スコア!$BN:$BN,"&gt;3")-ROW(A30)+1)),"")</f>
        <v/>
      </c>
      <c r="C39" s="3423" t="str">
        <f>IF(COUNTIF(スコア!$BN:$BN,"&gt;3")&gt;=ROW(B30),INDEX(スコア!BN:BN,LARGE(INDEX((スコア!$BN$9:$BN$194&gt;3)*ROW(スコア!$BN$9:$BN$194),),COUNTIF(スコア!$BN:$BN,"&gt;3")-ROW(B30)+1)),"")</f>
        <v/>
      </c>
      <c r="D39" s="3424" t="str">
        <f>IF(COUNTIF(スコア!$BN:$BN,"&gt;3")&gt;=ROW(C30),INDEX(スコア!BO:BO,LARGE(INDEX((スコア!$BN$9:$BN$194&gt;3)*ROW(スコア!$BN$9:$BN$194),),COUNTIF(スコア!$BN:$BN,"&gt;3")-ROW(C30)+1)),"")</f>
        <v/>
      </c>
      <c r="E39" s="3421"/>
      <c r="F39" s="3421"/>
    </row>
    <row r="40" spans="2:6" ht="32.25" customHeight="1">
      <c r="B40" s="3422" t="str">
        <f>IF(COUNTIF(スコア!$BN:$BN,"&gt;3")&gt;=ROW(A31),INDEX(スコア!BM:BM,LARGE(INDEX((スコア!$BN$9:$BN$194&gt;3)*ROW(スコア!$BN$9:$BN$194),),COUNTIF(スコア!$BN:$BN,"&gt;3")-ROW(A31)+1)),"")</f>
        <v/>
      </c>
      <c r="C40" s="3423" t="str">
        <f>IF(COUNTIF(スコア!$BN:$BN,"&gt;3")&gt;=ROW(B31),INDEX(スコア!BN:BN,LARGE(INDEX((スコア!$BN$9:$BN$194&gt;3)*ROW(スコア!$BN$9:$BN$194),),COUNTIF(スコア!$BN:$BN,"&gt;3")-ROW(B31)+1)),"")</f>
        <v/>
      </c>
      <c r="D40" s="3424" t="str">
        <f>IF(COUNTIF(スコア!$BN:$BN,"&gt;3")&gt;=ROW(C31),INDEX(スコア!BO:BO,LARGE(INDEX((スコア!$BN$9:$BN$194&gt;3)*ROW(スコア!$BN$9:$BN$194),),COUNTIF(スコア!$BN:$BN,"&gt;3")-ROW(C31)+1)),"")</f>
        <v/>
      </c>
      <c r="E40" s="3421"/>
      <c r="F40" s="3421"/>
    </row>
    <row r="41" spans="2:6" ht="32.25" customHeight="1">
      <c r="B41" s="3422" t="str">
        <f>IF(COUNTIF(スコア!$BN:$BN,"&gt;3")&gt;=ROW(A32),INDEX(スコア!BM:BM,LARGE(INDEX((スコア!$BN$9:$BN$194&gt;3)*ROW(スコア!$BN$9:$BN$194),),COUNTIF(スコア!$BN:$BN,"&gt;3")-ROW(A32)+1)),"")</f>
        <v/>
      </c>
      <c r="C41" s="3423" t="str">
        <f>IF(COUNTIF(スコア!$BN:$BN,"&gt;3")&gt;=ROW(B32),INDEX(スコア!BN:BN,LARGE(INDEX((スコア!$BN$9:$BN$194&gt;3)*ROW(スコア!$BN$9:$BN$194),),COUNTIF(スコア!$BN:$BN,"&gt;3")-ROW(B32)+1)),"")</f>
        <v/>
      </c>
      <c r="D41" s="3424" t="str">
        <f>IF(COUNTIF(スコア!$BN:$BN,"&gt;3")&gt;=ROW(C32),INDEX(スコア!BO:BO,LARGE(INDEX((スコア!$BN$9:$BN$194&gt;3)*ROW(スコア!$BN$9:$BN$194),),COUNTIF(スコア!$BN:$BN,"&gt;3")-ROW(C32)+1)),"")</f>
        <v/>
      </c>
      <c r="E41" s="3421"/>
      <c r="F41" s="3421"/>
    </row>
    <row r="42" spans="2:6" ht="32.25" customHeight="1">
      <c r="B42" s="3422" t="str">
        <f>IF(COUNTIF(スコア!$BN:$BN,"&gt;3")&gt;=ROW(A33),INDEX(スコア!BM:BM,LARGE(INDEX((スコア!$BN$9:$BN$194&gt;3)*ROW(スコア!$BN$9:$BN$194),),COUNTIF(スコア!$BN:$BN,"&gt;3")-ROW(A33)+1)),"")</f>
        <v/>
      </c>
      <c r="C42" s="3423" t="str">
        <f>IF(COUNTIF(スコア!$BN:$BN,"&gt;3")&gt;=ROW(B33),INDEX(スコア!BN:BN,LARGE(INDEX((スコア!$BN$9:$BN$194&gt;3)*ROW(スコア!$BN$9:$BN$194),),COUNTIF(スコア!$BN:$BN,"&gt;3")-ROW(B33)+1)),"")</f>
        <v/>
      </c>
      <c r="D42" s="3424" t="str">
        <f>IF(COUNTIF(スコア!$BN:$BN,"&gt;3")&gt;=ROW(C33),INDEX(スコア!BO:BO,LARGE(INDEX((スコア!$BN$9:$BN$194&gt;3)*ROW(スコア!$BN$9:$BN$194),),COUNTIF(スコア!$BN:$BN,"&gt;3")-ROW(C33)+1)),"")</f>
        <v/>
      </c>
      <c r="E42" s="3421"/>
      <c r="F42" s="3421"/>
    </row>
    <row r="43" spans="2:6" ht="32.25" customHeight="1">
      <c r="B43" s="3422" t="str">
        <f>IF(COUNTIF(スコア!$BN:$BN,"&gt;3")&gt;=ROW(A34),INDEX(スコア!BM:BM,LARGE(INDEX((スコア!$BN$9:$BN$194&gt;3)*ROW(スコア!$BN$9:$BN$194),),COUNTIF(スコア!$BN:$BN,"&gt;3")-ROW(A34)+1)),"")</f>
        <v/>
      </c>
      <c r="C43" s="3423" t="str">
        <f>IF(COUNTIF(スコア!$BN:$BN,"&gt;3")&gt;=ROW(B34),INDEX(スコア!BN:BN,LARGE(INDEX((スコア!$BN$9:$BN$194&gt;3)*ROW(スコア!$BN$9:$BN$194),),COUNTIF(スコア!$BN:$BN,"&gt;3")-ROW(B34)+1)),"")</f>
        <v/>
      </c>
      <c r="D43" s="3424" t="str">
        <f>IF(COUNTIF(スコア!$BN:$BN,"&gt;3")&gt;=ROW(C34),INDEX(スコア!BO:BO,LARGE(INDEX((スコア!$BN$9:$BN$194&gt;3)*ROW(スコア!$BN$9:$BN$194),),COUNTIF(スコア!$BN:$BN,"&gt;3")-ROW(C34)+1)),"")</f>
        <v/>
      </c>
      <c r="E43" s="3421"/>
      <c r="F43" s="3421"/>
    </row>
    <row r="44" spans="2:6" ht="32.25" customHeight="1">
      <c r="B44" s="3422" t="str">
        <f>IF(COUNTIF(スコア!$BN:$BN,"&gt;3")&gt;=ROW(A35),INDEX(スコア!BM:BM,LARGE(INDEX((スコア!$BN$9:$BN$194&gt;3)*ROW(スコア!$BN$9:$BN$194),),COUNTIF(スコア!$BN:$BN,"&gt;3")-ROW(A35)+1)),"")</f>
        <v/>
      </c>
      <c r="C44" s="3423" t="str">
        <f>IF(COUNTIF(スコア!$BN:$BN,"&gt;3")&gt;=ROW(B35),INDEX(スコア!BN:BN,LARGE(INDEX((スコア!$BN$9:$BN$194&gt;3)*ROW(スコア!$BN$9:$BN$194),),COUNTIF(スコア!$BN:$BN,"&gt;3")-ROW(B35)+1)),"")</f>
        <v/>
      </c>
      <c r="D44" s="3424" t="str">
        <f>IF(COUNTIF(スコア!$BN:$BN,"&gt;3")&gt;=ROW(C35),INDEX(スコア!BO:BO,LARGE(INDEX((スコア!$BN$9:$BN$194&gt;3)*ROW(スコア!$BN$9:$BN$194),),COUNTIF(スコア!$BN:$BN,"&gt;3")-ROW(C35)+1)),"")</f>
        <v/>
      </c>
      <c r="E44" s="3421"/>
      <c r="F44" s="3421"/>
    </row>
    <row r="45" spans="2:6" ht="32.25" customHeight="1">
      <c r="B45" s="3422" t="str">
        <f>IF(COUNTIF(スコア!$BN:$BN,"&gt;3")&gt;=ROW(A36),INDEX(スコア!BM:BM,LARGE(INDEX((スコア!$BN$9:$BN$194&gt;3)*ROW(スコア!$BN$9:$BN$194),),COUNTIF(スコア!$BN:$BN,"&gt;3")-ROW(A36)+1)),"")</f>
        <v/>
      </c>
      <c r="C45" s="3423" t="str">
        <f>IF(COUNTIF(スコア!$BN:$BN,"&gt;3")&gt;=ROW(B36),INDEX(スコア!BN:BN,LARGE(INDEX((スコア!$BN$9:$BN$194&gt;3)*ROW(スコア!$BN$9:$BN$194),),COUNTIF(スコア!$BN:$BN,"&gt;3")-ROW(B36)+1)),"")</f>
        <v/>
      </c>
      <c r="D45" s="3424" t="str">
        <f>IF(COUNTIF(スコア!$BN:$BN,"&gt;3")&gt;=ROW(C36),INDEX(スコア!BO:BO,LARGE(INDEX((スコア!$BN$9:$BN$194&gt;3)*ROW(スコア!$BN$9:$BN$194),),COUNTIF(スコア!$BN:$BN,"&gt;3")-ROW(C36)+1)),"")</f>
        <v/>
      </c>
      <c r="E45" s="3421"/>
      <c r="F45" s="3421"/>
    </row>
    <row r="46" spans="2:6" ht="32.25" customHeight="1">
      <c r="B46" s="3422" t="str">
        <f>IF(COUNTIF(スコア!$BN:$BN,"&gt;3")&gt;=ROW(A37),INDEX(スコア!BM:BM,LARGE(INDEX((スコア!$BN$9:$BN$194&gt;3)*ROW(スコア!$BN$9:$BN$194),),COUNTIF(スコア!$BN:$BN,"&gt;3")-ROW(A37)+1)),"")</f>
        <v/>
      </c>
      <c r="C46" s="3423" t="str">
        <f>IF(COUNTIF(スコア!$BN:$BN,"&gt;3")&gt;=ROW(B37),INDEX(スコア!BN:BN,LARGE(INDEX((スコア!$BN$9:$BN$194&gt;3)*ROW(スコア!$BN$9:$BN$194),),COUNTIF(スコア!$BN:$BN,"&gt;3")-ROW(B37)+1)),"")</f>
        <v/>
      </c>
      <c r="D46" s="3424" t="str">
        <f>IF(COUNTIF(スコア!$BN:$BN,"&gt;3")&gt;=ROW(C37),INDEX(スコア!BO:BO,LARGE(INDEX((スコア!$BN$9:$BN$194&gt;3)*ROW(スコア!$BN$9:$BN$194),),COUNTIF(スコア!$BN:$BN,"&gt;3")-ROW(C37)+1)),"")</f>
        <v/>
      </c>
      <c r="E46" s="3421"/>
      <c r="F46" s="3421"/>
    </row>
    <row r="47" spans="2:6" ht="32.25" customHeight="1">
      <c r="B47" s="3422" t="str">
        <f>IF(COUNTIF(スコア!$BN:$BN,"&gt;3")&gt;=ROW(A38),INDEX(スコア!BM:BM,LARGE(INDEX((スコア!$BN$9:$BN$194&gt;3)*ROW(スコア!$BN$9:$BN$194),),COUNTIF(スコア!$BN:$BN,"&gt;3")-ROW(A38)+1)),"")</f>
        <v/>
      </c>
      <c r="C47" s="3423" t="str">
        <f>IF(COUNTIF(スコア!$BN:$BN,"&gt;3")&gt;=ROW(B38),INDEX(スコア!BN:BN,LARGE(INDEX((スコア!$BN$9:$BN$194&gt;3)*ROW(スコア!$BN$9:$BN$194),),COUNTIF(スコア!$BN:$BN,"&gt;3")-ROW(B38)+1)),"")</f>
        <v/>
      </c>
      <c r="D47" s="3424" t="str">
        <f>IF(COUNTIF(スコア!$BN:$BN,"&gt;3")&gt;=ROW(C38),INDEX(スコア!BO:BO,LARGE(INDEX((スコア!$BN$9:$BN$194&gt;3)*ROW(スコア!$BN$9:$BN$194),),COUNTIF(スコア!$BN:$BN,"&gt;3")-ROW(C38)+1)),"")</f>
        <v/>
      </c>
      <c r="E47" s="3421"/>
      <c r="F47" s="3421"/>
    </row>
    <row r="48" spans="2:6" ht="32.25" customHeight="1">
      <c r="B48" s="3422" t="str">
        <f>IF(COUNTIF(スコア!$BN:$BN,"&gt;3")&gt;=ROW(A39),INDEX(スコア!BM:BM,LARGE(INDEX((スコア!$BN$9:$BN$194&gt;3)*ROW(スコア!$BN$9:$BN$194),),COUNTIF(スコア!$BN:$BN,"&gt;3")-ROW(A39)+1)),"")</f>
        <v/>
      </c>
      <c r="C48" s="3423" t="str">
        <f>IF(COUNTIF(スコア!$BN:$BN,"&gt;3")&gt;=ROW(B39),INDEX(スコア!BN:BN,LARGE(INDEX((スコア!$BN$9:$BN$194&gt;3)*ROW(スコア!$BN$9:$BN$194),),COUNTIF(スコア!$BN:$BN,"&gt;3")-ROW(B39)+1)),"")</f>
        <v/>
      </c>
      <c r="D48" s="3424" t="str">
        <f>IF(COUNTIF(スコア!$BN:$BN,"&gt;3")&gt;=ROW(C39),INDEX(スコア!BO:BO,LARGE(INDEX((スコア!$BN$9:$BN$194&gt;3)*ROW(スコア!$BN$9:$BN$194),),COUNTIF(スコア!$BN:$BN,"&gt;3")-ROW(C39)+1)),"")</f>
        <v/>
      </c>
      <c r="E48" s="3421"/>
      <c r="F48" s="3421"/>
    </row>
    <row r="49" spans="2:6" ht="32.25" customHeight="1">
      <c r="B49" s="3422" t="str">
        <f>IF(COUNTIF(スコア!$BN:$BN,"&gt;3")&gt;=ROW(A40),INDEX(スコア!BM:BM,LARGE(INDEX((スコア!$BN$9:$BN$194&gt;3)*ROW(スコア!$BN$9:$BN$194),),COUNTIF(スコア!$BN:$BN,"&gt;3")-ROW(A40)+1)),"")</f>
        <v/>
      </c>
      <c r="C49" s="3423" t="str">
        <f>IF(COUNTIF(スコア!$BN:$BN,"&gt;3")&gt;=ROW(B40),INDEX(スコア!BN:BN,LARGE(INDEX((スコア!$BN$9:$BN$194&gt;3)*ROW(スコア!$BN$9:$BN$194),),COUNTIF(スコア!$BN:$BN,"&gt;3")-ROW(B40)+1)),"")</f>
        <v/>
      </c>
      <c r="D49" s="3424" t="str">
        <f>IF(COUNTIF(スコア!$BN:$BN,"&gt;3")&gt;=ROW(C40),INDEX(スコア!BO:BO,LARGE(INDEX((スコア!$BN$9:$BN$194&gt;3)*ROW(スコア!$BN$9:$BN$194),),COUNTIF(スコア!$BN:$BN,"&gt;3")-ROW(C40)+1)),"")</f>
        <v/>
      </c>
      <c r="E49" s="3421"/>
      <c r="F49" s="3421"/>
    </row>
    <row r="50" spans="2:6" ht="32.25" customHeight="1">
      <c r="B50" s="3422" t="str">
        <f>IF(COUNTIF(スコア!$BN:$BN,"&gt;3")&gt;=ROW(A41),INDEX(スコア!BM:BM,LARGE(INDEX((スコア!$BN$9:$BN$194&gt;3)*ROW(スコア!$BN$9:$BN$194),),COUNTIF(スコア!$BN:$BN,"&gt;3")-ROW(A41)+1)),"")</f>
        <v/>
      </c>
      <c r="C50" s="3423" t="str">
        <f>IF(COUNTIF(スコア!$BN:$BN,"&gt;3")&gt;=ROW(B41),INDEX(スコア!BN:BN,LARGE(INDEX((スコア!$BN$9:$BN$194&gt;3)*ROW(スコア!$BN$9:$BN$194),),COUNTIF(スコア!$BN:$BN,"&gt;3")-ROW(B41)+1)),"")</f>
        <v/>
      </c>
      <c r="D50" s="3424" t="str">
        <f>IF(COUNTIF(スコア!$BN:$BN,"&gt;3")&gt;=ROW(C41),INDEX(スコア!BO:BO,LARGE(INDEX((スコア!$BN$9:$BN$194&gt;3)*ROW(スコア!$BN$9:$BN$194),),COUNTIF(スコア!$BN:$BN,"&gt;3")-ROW(C41)+1)),"")</f>
        <v/>
      </c>
      <c r="E50" s="3421"/>
      <c r="F50" s="3421"/>
    </row>
    <row r="51" spans="2:6" ht="32.25" customHeight="1">
      <c r="B51" s="3422" t="str">
        <f>IF(COUNTIF(スコア!$BN:$BN,"&gt;3")&gt;=ROW(A42),INDEX(スコア!BM:BM,LARGE(INDEX((スコア!$BN$9:$BN$194&gt;3)*ROW(スコア!$BN$9:$BN$194),),COUNTIF(スコア!$BN:$BN,"&gt;3")-ROW(A42)+1)),"")</f>
        <v/>
      </c>
      <c r="C51" s="3423" t="str">
        <f>IF(COUNTIF(スコア!$BN:$BN,"&gt;3")&gt;=ROW(B42),INDEX(スコア!BN:BN,LARGE(INDEX((スコア!$BN$9:$BN$194&gt;3)*ROW(スコア!$BN$9:$BN$194),),COUNTIF(スコア!$BN:$BN,"&gt;3")-ROW(B42)+1)),"")</f>
        <v/>
      </c>
      <c r="D51" s="3424" t="str">
        <f>IF(COUNTIF(スコア!$BN:$BN,"&gt;3")&gt;=ROW(C42),INDEX(スコア!BO:BO,LARGE(INDEX((スコア!$BN$9:$BN$194&gt;3)*ROW(スコア!$BN$9:$BN$194),),COUNTIF(スコア!$BN:$BN,"&gt;3")-ROW(C42)+1)),"")</f>
        <v/>
      </c>
      <c r="E51" s="3421"/>
      <c r="F51" s="3421"/>
    </row>
    <row r="52" spans="2:6" ht="32.25" customHeight="1">
      <c r="B52" s="3422" t="str">
        <f>IF(COUNTIF(スコア!$BN:$BN,"&gt;3")&gt;=ROW(A43),INDEX(スコア!BM:BM,LARGE(INDEX((スコア!$BN$9:$BN$194&gt;3)*ROW(スコア!$BN$9:$BN$194),),COUNTIF(スコア!$BN:$BN,"&gt;3")-ROW(A43)+1)),"")</f>
        <v/>
      </c>
      <c r="C52" s="3423" t="str">
        <f>IF(COUNTIF(スコア!$BN:$BN,"&gt;3")&gt;=ROW(B43),INDEX(スコア!BN:BN,LARGE(INDEX((スコア!$BN$9:$BN$194&gt;3)*ROW(スコア!$BN$9:$BN$194),),COUNTIF(スコア!$BN:$BN,"&gt;3")-ROW(B43)+1)),"")</f>
        <v/>
      </c>
      <c r="D52" s="3424" t="str">
        <f>IF(COUNTIF(スコア!$BN:$BN,"&gt;3")&gt;=ROW(C43),INDEX(スコア!BO:BO,LARGE(INDEX((スコア!$BN$9:$BN$194&gt;3)*ROW(スコア!$BN$9:$BN$194),),COUNTIF(スコア!$BN:$BN,"&gt;3")-ROW(C43)+1)),"")</f>
        <v/>
      </c>
      <c r="E52" s="3421"/>
      <c r="F52" s="3421"/>
    </row>
    <row r="53" spans="2:6" ht="32.25" customHeight="1">
      <c r="B53" s="3422" t="str">
        <f>IF(COUNTIF(スコア!$BN:$BN,"&gt;3")&gt;=ROW(A44),INDEX(スコア!BM:BM,LARGE(INDEX((スコア!$BN$9:$BN$194&gt;3)*ROW(スコア!$BN$9:$BN$194),),COUNTIF(スコア!$BN:$BN,"&gt;3")-ROW(A44)+1)),"")</f>
        <v/>
      </c>
      <c r="C53" s="3423" t="str">
        <f>IF(COUNTIF(スコア!$BN:$BN,"&gt;3")&gt;=ROW(B44),INDEX(スコア!BN:BN,LARGE(INDEX((スコア!$BN$9:$BN$194&gt;3)*ROW(スコア!$BN$9:$BN$194),),COUNTIF(スコア!$BN:$BN,"&gt;3")-ROW(B44)+1)),"")</f>
        <v/>
      </c>
      <c r="D53" s="3424" t="str">
        <f>IF(COUNTIF(スコア!$BN:$BN,"&gt;3")&gt;=ROW(C44),INDEX(スコア!BO:BO,LARGE(INDEX((スコア!$BN$9:$BN$194&gt;3)*ROW(スコア!$BN$9:$BN$194),),COUNTIF(スコア!$BN:$BN,"&gt;3")-ROW(C44)+1)),"")</f>
        <v/>
      </c>
      <c r="E53" s="3421"/>
      <c r="F53" s="3421"/>
    </row>
    <row r="54" spans="2:6" ht="32.25" customHeight="1">
      <c r="B54" s="3422" t="str">
        <f>IF(COUNTIF(スコア!$BN:$BN,"&gt;3")&gt;=ROW(A45),INDEX(スコア!BM:BM,LARGE(INDEX((スコア!$BN$9:$BN$194&gt;3)*ROW(スコア!$BN$9:$BN$194),),COUNTIF(スコア!$BN:$BN,"&gt;3")-ROW(A45)+1)),"")</f>
        <v/>
      </c>
      <c r="C54" s="3423" t="str">
        <f>IF(COUNTIF(スコア!$BN:$BN,"&gt;3")&gt;=ROW(B45),INDEX(スコア!BN:BN,LARGE(INDEX((スコア!$BN$9:$BN$194&gt;3)*ROW(スコア!$BN$9:$BN$194),),COUNTIF(スコア!$BN:$BN,"&gt;3")-ROW(B45)+1)),"")</f>
        <v/>
      </c>
      <c r="D54" s="3424" t="str">
        <f>IF(COUNTIF(スコア!$BN:$BN,"&gt;3")&gt;=ROW(C45),INDEX(スコア!BO:BO,LARGE(INDEX((スコア!$BN$9:$BN$194&gt;3)*ROW(スコア!$BN$9:$BN$194),),COUNTIF(スコア!$BN:$BN,"&gt;3")-ROW(C45)+1)),"")</f>
        <v/>
      </c>
      <c r="E54" s="3421"/>
      <c r="F54" s="3421"/>
    </row>
    <row r="55" spans="2:6" ht="32.25" customHeight="1">
      <c r="B55" s="3422" t="str">
        <f>IF(COUNTIF(スコア!$BN:$BN,"&gt;3")&gt;=ROW(A46),INDEX(スコア!BM:BM,LARGE(INDEX((スコア!$BN$9:$BN$194&gt;3)*ROW(スコア!$BN$9:$BN$194),),COUNTIF(スコア!$BN:$BN,"&gt;3")-ROW(A46)+1)),"")</f>
        <v/>
      </c>
      <c r="C55" s="3423" t="str">
        <f>IF(COUNTIF(スコア!$BN:$BN,"&gt;3")&gt;=ROW(B46),INDEX(スコア!BN:BN,LARGE(INDEX((スコア!$BN$9:$BN$194&gt;3)*ROW(スコア!$BN$9:$BN$194),),COUNTIF(スコア!$BN:$BN,"&gt;3")-ROW(B46)+1)),"")</f>
        <v/>
      </c>
      <c r="D55" s="3424" t="str">
        <f>IF(COUNTIF(スコア!$BN:$BN,"&gt;3")&gt;=ROW(C46),INDEX(スコア!BO:BO,LARGE(INDEX((スコア!$BN$9:$BN$194&gt;3)*ROW(スコア!$BN$9:$BN$194),),COUNTIF(スコア!$BN:$BN,"&gt;3")-ROW(C46)+1)),"")</f>
        <v/>
      </c>
      <c r="E55" s="3421"/>
      <c r="F55" s="3421"/>
    </row>
    <row r="56" spans="2:6" ht="32.25" customHeight="1">
      <c r="B56" s="3422" t="str">
        <f>IF(COUNTIF(スコア!$BN:$BN,"&gt;3")&gt;=ROW(A47),INDEX(スコア!BM:BM,LARGE(INDEX((スコア!$BN$9:$BN$194&gt;3)*ROW(スコア!$BN$9:$BN$194),),COUNTIF(スコア!$BN:$BN,"&gt;3")-ROW(A47)+1)),"")</f>
        <v/>
      </c>
      <c r="C56" s="3423" t="str">
        <f>IF(COUNTIF(スコア!$BN:$BN,"&gt;3")&gt;=ROW(B47),INDEX(スコア!BN:BN,LARGE(INDEX((スコア!$BN$9:$BN$194&gt;3)*ROW(スコア!$BN$9:$BN$194),),COUNTIF(スコア!$BN:$BN,"&gt;3")-ROW(B47)+1)),"")</f>
        <v/>
      </c>
      <c r="D56" s="3424" t="str">
        <f>IF(COUNTIF(スコア!$BN:$BN,"&gt;3")&gt;=ROW(C47),INDEX(スコア!BO:BO,LARGE(INDEX((スコア!$BN$9:$BN$194&gt;3)*ROW(スコア!$BN$9:$BN$194),),COUNTIF(スコア!$BN:$BN,"&gt;3")-ROW(C47)+1)),"")</f>
        <v/>
      </c>
      <c r="E56" s="3421"/>
      <c r="F56" s="3421"/>
    </row>
    <row r="57" spans="2:6" ht="32.25" customHeight="1">
      <c r="B57" s="3422" t="str">
        <f>IF(COUNTIF(スコア!$BN:$BN,"&gt;3")&gt;=ROW(A48),INDEX(スコア!BM:BM,LARGE(INDEX((スコア!$BN$9:$BN$194&gt;3)*ROW(スコア!$BN$9:$BN$194),),COUNTIF(スコア!$BN:$BN,"&gt;3")-ROW(A48)+1)),"")</f>
        <v/>
      </c>
      <c r="C57" s="3423" t="str">
        <f>IF(COUNTIF(スコア!$BN:$BN,"&gt;3")&gt;=ROW(B48),INDEX(スコア!BN:BN,LARGE(INDEX((スコア!$BN$9:$BN$194&gt;3)*ROW(スコア!$BN$9:$BN$194),),COUNTIF(スコア!$BN:$BN,"&gt;3")-ROW(B48)+1)),"")</f>
        <v/>
      </c>
      <c r="D57" s="3424" t="str">
        <f>IF(COUNTIF(スコア!$BN:$BN,"&gt;3")&gt;=ROW(C48),INDEX(スコア!BO:BO,LARGE(INDEX((スコア!$BN$9:$BN$194&gt;3)*ROW(スコア!$BN$9:$BN$194),),COUNTIF(スコア!$BN:$BN,"&gt;3")-ROW(C48)+1)),"")</f>
        <v/>
      </c>
      <c r="E57" s="3421"/>
      <c r="F57" s="3421"/>
    </row>
    <row r="58" spans="2:6" ht="32.25" customHeight="1">
      <c r="B58" s="3422" t="str">
        <f>IF(COUNTIF(スコア!$BN:$BN,"&gt;3")&gt;=ROW(A49),INDEX(スコア!BM:BM,LARGE(INDEX((スコア!$BN$9:$BN$194&gt;3)*ROW(スコア!$BN$9:$BN$194),),COUNTIF(スコア!$BN:$BN,"&gt;3")-ROW(A49)+1)),"")</f>
        <v/>
      </c>
      <c r="C58" s="3423" t="str">
        <f>IF(COUNTIF(スコア!$BN:$BN,"&gt;3")&gt;=ROW(B49),INDEX(スコア!BN:BN,LARGE(INDEX((スコア!$BN$9:$BN$194&gt;3)*ROW(スコア!$BN$9:$BN$194),),COUNTIF(スコア!$BN:$BN,"&gt;3")-ROW(B49)+1)),"")</f>
        <v/>
      </c>
      <c r="D58" s="3424" t="str">
        <f>IF(COUNTIF(スコア!$BN:$BN,"&gt;3")&gt;=ROW(C49),INDEX(スコア!BO:BO,LARGE(INDEX((スコア!$BN$9:$BN$194&gt;3)*ROW(スコア!$BN$9:$BN$194),),COUNTIF(スコア!$BN:$BN,"&gt;3")-ROW(C49)+1)),"")</f>
        <v/>
      </c>
      <c r="E58" s="3421"/>
      <c r="F58" s="3421"/>
    </row>
    <row r="59" spans="2:6" ht="32.25" customHeight="1">
      <c r="B59" s="3422" t="str">
        <f>IF(COUNTIF(スコア!$BN:$BN,"&gt;3")&gt;=ROW(A50),INDEX(スコア!BM:BM,LARGE(INDEX((スコア!$BN$9:$BN$194&gt;3)*ROW(スコア!$BN$9:$BN$194),),COUNTIF(スコア!$BN:$BN,"&gt;3")-ROW(A50)+1)),"")</f>
        <v/>
      </c>
      <c r="C59" s="3423" t="str">
        <f>IF(COUNTIF(スコア!$BN:$BN,"&gt;3")&gt;=ROW(B50),INDEX(スコア!BN:BN,LARGE(INDEX((スコア!$BN$9:$BN$194&gt;3)*ROW(スコア!$BN$9:$BN$194),),COUNTIF(スコア!$BN:$BN,"&gt;3")-ROW(B50)+1)),"")</f>
        <v/>
      </c>
      <c r="D59" s="3424" t="str">
        <f>IF(COUNTIF(スコア!$BN:$BN,"&gt;3")&gt;=ROW(C50),INDEX(スコア!BO:BO,LARGE(INDEX((スコア!$BN$9:$BN$194&gt;3)*ROW(スコア!$BN$9:$BN$194),),COUNTIF(スコア!$BN:$BN,"&gt;3")-ROW(C50)+1)),"")</f>
        <v/>
      </c>
      <c r="E59" s="3421"/>
      <c r="F59" s="3421"/>
    </row>
    <row r="60" spans="2:6" ht="32.25" customHeight="1">
      <c r="B60" s="3422" t="str">
        <f>IF(COUNTIF(スコア!$BN:$BN,"&gt;3")&gt;=ROW(A51),INDEX(スコア!BM:BM,LARGE(INDEX((スコア!$BN$9:$BN$194&gt;3)*ROW(スコア!$BN$9:$BN$194),),COUNTIF(スコア!$BN:$BN,"&gt;3")-ROW(A51)+1)),"")</f>
        <v/>
      </c>
      <c r="C60" s="3423" t="str">
        <f>IF(COUNTIF(スコア!$BN:$BN,"&gt;3")&gt;=ROW(B51),INDEX(スコア!BN:BN,LARGE(INDEX((スコア!$BN$9:$BN$194&gt;3)*ROW(スコア!$BN$9:$BN$194),),COUNTIF(スコア!$BN:$BN,"&gt;3")-ROW(B51)+1)),"")</f>
        <v/>
      </c>
      <c r="D60" s="3424" t="str">
        <f>IF(COUNTIF(スコア!$BN:$BN,"&gt;3")&gt;=ROW(C51),INDEX(スコア!BO:BO,LARGE(INDEX((スコア!$BN$9:$BN$194&gt;3)*ROW(スコア!$BN$9:$BN$194),),COUNTIF(スコア!$BN:$BN,"&gt;3")-ROW(C51)+1)),"")</f>
        <v/>
      </c>
      <c r="E60" s="3421"/>
      <c r="F60" s="3421"/>
    </row>
    <row r="61" spans="2:6" ht="32.25" customHeight="1">
      <c r="B61" s="3422" t="str">
        <f>IF(COUNTIF(スコア!$BN:$BN,"&gt;3")&gt;=ROW(A52),INDEX(スコア!BM:BM,LARGE(INDEX((スコア!$BN$9:$BN$194&gt;3)*ROW(スコア!$BN$9:$BN$194),),COUNTIF(スコア!$BN:$BN,"&gt;3")-ROW(A52)+1)),"")</f>
        <v/>
      </c>
      <c r="C61" s="3423" t="str">
        <f>IF(COUNTIF(スコア!$BN:$BN,"&gt;3")&gt;=ROW(B52),INDEX(スコア!BN:BN,LARGE(INDEX((スコア!$BN$9:$BN$194&gt;3)*ROW(スコア!$BN$9:$BN$194),),COUNTIF(スコア!$BN:$BN,"&gt;3")-ROW(B52)+1)),"")</f>
        <v/>
      </c>
      <c r="D61" s="3424" t="str">
        <f>IF(COUNTIF(スコア!$BN:$BN,"&gt;3")&gt;=ROW(C52),INDEX(スコア!BO:BO,LARGE(INDEX((スコア!$BN$9:$BN$194&gt;3)*ROW(スコア!$BN$9:$BN$194),),COUNTIF(スコア!$BN:$BN,"&gt;3")-ROW(C52)+1)),"")</f>
        <v/>
      </c>
      <c r="E61" s="3421"/>
      <c r="F61" s="3421"/>
    </row>
    <row r="62" spans="2:6" ht="32.25" customHeight="1">
      <c r="B62" s="3422" t="str">
        <f>IF(COUNTIF(スコア!$BN:$BN,"&gt;3")&gt;=ROW(A53),INDEX(スコア!BM:BM,LARGE(INDEX((スコア!$BN$9:$BN$194&gt;3)*ROW(スコア!$BN$9:$BN$194),),COUNTIF(スコア!$BN:$BN,"&gt;3")-ROW(A53)+1)),"")</f>
        <v/>
      </c>
      <c r="C62" s="3423" t="str">
        <f>IF(COUNTIF(スコア!$BN:$BN,"&gt;3")&gt;=ROW(B53),INDEX(スコア!BN:BN,LARGE(INDEX((スコア!$BN$9:$BN$194&gt;3)*ROW(スコア!$BN$9:$BN$194),),COUNTIF(スコア!$BN:$BN,"&gt;3")-ROW(B53)+1)),"")</f>
        <v/>
      </c>
      <c r="D62" s="3424" t="str">
        <f>IF(COUNTIF(スコア!$BN:$BN,"&gt;3")&gt;=ROW(C53),INDEX(スコア!BO:BO,LARGE(INDEX((スコア!$BN$9:$BN$194&gt;3)*ROW(スコア!$BN$9:$BN$194),),COUNTIF(スコア!$BN:$BN,"&gt;3")-ROW(C53)+1)),"")</f>
        <v/>
      </c>
      <c r="E62" s="3421"/>
      <c r="F62" s="3421"/>
    </row>
    <row r="63" spans="2:6" ht="32.25" customHeight="1">
      <c r="B63" s="3422" t="str">
        <f>IF(COUNTIF(スコア!$BN:$BN,"&gt;3")&gt;=ROW(A54),INDEX(スコア!BM:BM,LARGE(INDEX((スコア!$BN$9:$BN$194&gt;3)*ROW(スコア!$BN$9:$BN$194),),COUNTIF(スコア!$BN:$BN,"&gt;3")-ROW(A54)+1)),"")</f>
        <v/>
      </c>
      <c r="C63" s="3423" t="str">
        <f>IF(COUNTIF(スコア!$BN:$BN,"&gt;3")&gt;=ROW(B54),INDEX(スコア!BN:BN,LARGE(INDEX((スコア!$BN$9:$BN$194&gt;3)*ROW(スコア!$BN$9:$BN$194),),COUNTIF(スコア!$BN:$BN,"&gt;3")-ROW(B54)+1)),"")</f>
        <v/>
      </c>
      <c r="D63" s="3424" t="str">
        <f>IF(COUNTIF(スコア!$BN:$BN,"&gt;3")&gt;=ROW(C54),INDEX(スコア!BO:BO,LARGE(INDEX((スコア!$BN$9:$BN$194&gt;3)*ROW(スコア!$BN$9:$BN$194),),COUNTIF(スコア!$BN:$BN,"&gt;3")-ROW(C54)+1)),"")</f>
        <v/>
      </c>
      <c r="E63" s="3421"/>
      <c r="F63" s="3421"/>
    </row>
    <row r="64" spans="2:6" ht="32.25" customHeight="1">
      <c r="B64" s="3422" t="str">
        <f>IF(COUNTIF(スコア!$BN:$BN,"&gt;3")&gt;=ROW(A55),INDEX(スコア!BM:BM,LARGE(INDEX((スコア!$BN$9:$BN$194&gt;3)*ROW(スコア!$BN$9:$BN$194),),COUNTIF(スコア!$BN:$BN,"&gt;3")-ROW(A55)+1)),"")</f>
        <v/>
      </c>
      <c r="C64" s="3423" t="str">
        <f>IF(COUNTIF(スコア!$BN:$BN,"&gt;3")&gt;=ROW(B55),INDEX(スコア!BN:BN,LARGE(INDEX((スコア!$BN$9:$BN$194&gt;3)*ROW(スコア!$BN$9:$BN$194),),COUNTIF(スコア!$BN:$BN,"&gt;3")-ROW(B55)+1)),"")</f>
        <v/>
      </c>
      <c r="D64" s="3424" t="str">
        <f>IF(COUNTIF(スコア!$BN:$BN,"&gt;3")&gt;=ROW(C55),INDEX(スコア!BO:BO,LARGE(INDEX((スコア!$BN$9:$BN$194&gt;3)*ROW(スコア!$BN$9:$BN$194),),COUNTIF(スコア!$BN:$BN,"&gt;3")-ROW(C55)+1)),"")</f>
        <v/>
      </c>
      <c r="E64" s="3421"/>
      <c r="F64" s="3421"/>
    </row>
    <row r="65" spans="2:6" ht="32.25" customHeight="1">
      <c r="B65" s="3422" t="str">
        <f>IF(COUNTIF(スコア!$BN:$BN,"&gt;3")&gt;=ROW(A56),INDEX(スコア!BM:BM,LARGE(INDEX((スコア!$BN$9:$BN$194&gt;3)*ROW(スコア!$BN$9:$BN$194),),COUNTIF(スコア!$BN:$BN,"&gt;3")-ROW(A56)+1)),"")</f>
        <v/>
      </c>
      <c r="C65" s="3423" t="str">
        <f>IF(COUNTIF(スコア!$BN:$BN,"&gt;3")&gt;=ROW(B56),INDEX(スコア!BN:BN,LARGE(INDEX((スコア!$BN$9:$BN$194&gt;3)*ROW(スコア!$BN$9:$BN$194),),COUNTIF(スコア!$BN:$BN,"&gt;3")-ROW(B56)+1)),"")</f>
        <v/>
      </c>
      <c r="D65" s="3424" t="str">
        <f>IF(COUNTIF(スコア!$BN:$BN,"&gt;3")&gt;=ROW(C56),INDEX(スコア!BO:BO,LARGE(INDEX((スコア!$BN$9:$BN$194&gt;3)*ROW(スコア!$BN$9:$BN$194),),COUNTIF(スコア!$BN:$BN,"&gt;3")-ROW(C56)+1)),"")</f>
        <v/>
      </c>
      <c r="E65" s="3421"/>
      <c r="F65" s="3421"/>
    </row>
    <row r="66" spans="2:6" ht="32.25" customHeight="1">
      <c r="B66" s="3422" t="str">
        <f>IF(COUNTIF(スコア!$BN:$BN,"&gt;3")&gt;=ROW(A57),INDEX(スコア!BM:BM,LARGE(INDEX((スコア!$BN$9:$BN$194&gt;3)*ROW(スコア!$BN$9:$BN$194),),COUNTIF(スコア!$BN:$BN,"&gt;3")-ROW(A57)+1)),"")</f>
        <v/>
      </c>
      <c r="C66" s="3423" t="str">
        <f>IF(COUNTIF(スコア!$BN:$BN,"&gt;3")&gt;=ROW(B57),INDEX(スコア!BN:BN,LARGE(INDEX((スコア!$BN$9:$BN$194&gt;3)*ROW(スコア!$BN$9:$BN$194),),COUNTIF(スコア!$BN:$BN,"&gt;3")-ROW(B57)+1)),"")</f>
        <v/>
      </c>
      <c r="D66" s="3424" t="str">
        <f>IF(COUNTIF(スコア!$BN:$BN,"&gt;3")&gt;=ROW(C57),INDEX(スコア!BO:BO,LARGE(INDEX((スコア!$BN$9:$BN$194&gt;3)*ROW(スコア!$BN$9:$BN$194),),COUNTIF(スコア!$BN:$BN,"&gt;3")-ROW(C57)+1)),"")</f>
        <v/>
      </c>
      <c r="E66" s="3421"/>
      <c r="F66" s="3421"/>
    </row>
    <row r="67" spans="2:6" ht="32.25" customHeight="1">
      <c r="B67" s="3422" t="str">
        <f>IF(COUNTIF(スコア!$BN:$BN,"&gt;3")&gt;=ROW(A58),INDEX(スコア!BM:BM,LARGE(INDEX((スコア!$BN$9:$BN$194&gt;3)*ROW(スコア!$BN$9:$BN$194),),COUNTIF(スコア!$BN:$BN,"&gt;3")-ROW(A58)+1)),"")</f>
        <v/>
      </c>
      <c r="C67" s="3423" t="str">
        <f>IF(COUNTIF(スコア!$BN:$BN,"&gt;3")&gt;=ROW(B58),INDEX(スコア!BN:BN,LARGE(INDEX((スコア!$BN$9:$BN$194&gt;3)*ROW(スコア!$BN$9:$BN$194),),COUNTIF(スコア!$BN:$BN,"&gt;3")-ROW(B58)+1)),"")</f>
        <v/>
      </c>
      <c r="D67" s="3424" t="str">
        <f>IF(COUNTIF(スコア!$BN:$BN,"&gt;3")&gt;=ROW(C58),INDEX(スコア!BO:BO,LARGE(INDEX((スコア!$BN$9:$BN$194&gt;3)*ROW(スコア!$BN$9:$BN$194),),COUNTIF(スコア!$BN:$BN,"&gt;3")-ROW(C58)+1)),"")</f>
        <v/>
      </c>
      <c r="E67" s="3421"/>
      <c r="F67" s="3421"/>
    </row>
    <row r="68" spans="2:6" ht="32.25" customHeight="1">
      <c r="B68" s="3422" t="str">
        <f>IF(COUNTIF(スコア!$BN:$BN,"&gt;3")&gt;=ROW(A59),INDEX(スコア!BM:BM,LARGE(INDEX((スコア!$BN$9:$BN$194&gt;3)*ROW(スコア!$BN$9:$BN$194),),COUNTIF(スコア!$BN:$BN,"&gt;3")-ROW(A59)+1)),"")</f>
        <v/>
      </c>
      <c r="C68" s="3423" t="str">
        <f>IF(COUNTIF(スコア!$BN:$BN,"&gt;3")&gt;=ROW(B59),INDEX(スコア!BN:BN,LARGE(INDEX((スコア!$BN$9:$BN$194&gt;3)*ROW(スコア!$BN$9:$BN$194),),COUNTIF(スコア!$BN:$BN,"&gt;3")-ROW(B59)+1)),"")</f>
        <v/>
      </c>
      <c r="D68" s="3424" t="str">
        <f>IF(COUNTIF(スコア!$BN:$BN,"&gt;3")&gt;=ROW(C59),INDEX(スコア!BO:BO,LARGE(INDEX((スコア!$BN$9:$BN$194&gt;3)*ROW(スコア!$BN$9:$BN$194),),COUNTIF(スコア!$BN:$BN,"&gt;3")-ROW(C59)+1)),"")</f>
        <v/>
      </c>
      <c r="E68" s="3421"/>
      <c r="F68" s="3421"/>
    </row>
    <row r="69" spans="2:6" ht="32.25" customHeight="1">
      <c r="B69" s="3422" t="str">
        <f>IF(COUNTIF(スコア!$BN:$BN,"&gt;3")&gt;=ROW(A60),INDEX(スコア!BM:BM,LARGE(INDEX((スコア!$BN$9:$BN$194&gt;3)*ROW(スコア!$BN$9:$BN$194),),COUNTIF(スコア!$BN:$BN,"&gt;3")-ROW(A60)+1)),"")</f>
        <v/>
      </c>
      <c r="C69" s="3423" t="str">
        <f>IF(COUNTIF(スコア!$BN:$BN,"&gt;3")&gt;=ROW(B60),INDEX(スコア!BN:BN,LARGE(INDEX((スコア!$BN$9:$BN$194&gt;3)*ROW(スコア!$BN$9:$BN$194),),COUNTIF(スコア!$BN:$BN,"&gt;3")-ROW(B60)+1)),"")</f>
        <v/>
      </c>
      <c r="D69" s="3424" t="str">
        <f>IF(COUNTIF(スコア!$BN:$BN,"&gt;3")&gt;=ROW(C60),INDEX(スコア!BO:BO,LARGE(INDEX((スコア!$BN$9:$BN$194&gt;3)*ROW(スコア!$BN$9:$BN$194),),COUNTIF(スコア!$BN:$BN,"&gt;3")-ROW(C60)+1)),"")</f>
        <v/>
      </c>
      <c r="E69" s="3421"/>
      <c r="F69" s="3421"/>
    </row>
    <row r="70" spans="2:6" ht="32.25" customHeight="1">
      <c r="B70" s="3422" t="str">
        <f>IF(COUNTIF(スコア!$BN:$BN,"&gt;3")&gt;=ROW(A61),INDEX(スコア!BM:BM,LARGE(INDEX((スコア!$BN$9:$BN$194&gt;3)*ROW(スコア!$BN$9:$BN$194),),COUNTIF(スコア!$BN:$BN,"&gt;3")-ROW(A61)+1)),"")</f>
        <v/>
      </c>
      <c r="C70" s="3423" t="str">
        <f>IF(COUNTIF(スコア!$BN:$BN,"&gt;3")&gt;=ROW(B61),INDEX(スコア!BN:BN,LARGE(INDEX((スコア!$BN$9:$BN$194&gt;3)*ROW(スコア!$BN$9:$BN$194),),COUNTIF(スコア!$BN:$BN,"&gt;3")-ROW(B61)+1)),"")</f>
        <v/>
      </c>
      <c r="D70" s="3424" t="str">
        <f>IF(COUNTIF(スコア!$BN:$BN,"&gt;3")&gt;=ROW(C61),INDEX(スコア!BO:BO,LARGE(INDEX((スコア!$BN$9:$BN$194&gt;3)*ROW(スコア!$BN$9:$BN$194),),COUNTIF(スコア!$BN:$BN,"&gt;3")-ROW(C61)+1)),"")</f>
        <v/>
      </c>
      <c r="E70" s="3421"/>
      <c r="F70" s="3421"/>
    </row>
    <row r="71" spans="2:6" ht="32.25" customHeight="1">
      <c r="B71" s="3422" t="str">
        <f>IF(COUNTIF(スコア!$BN:$BN,"&gt;3")&gt;=ROW(A62),INDEX(スコア!BM:BM,LARGE(INDEX((スコア!$BN$9:$BN$194&gt;3)*ROW(スコア!$BN$9:$BN$194),),COUNTIF(スコア!$BN:$BN,"&gt;3")-ROW(A62)+1)),"")</f>
        <v/>
      </c>
      <c r="C71" s="3423" t="str">
        <f>IF(COUNTIF(スコア!$BN:$BN,"&gt;3")&gt;=ROW(B62),INDEX(スコア!BN:BN,LARGE(INDEX((スコア!$BN$9:$BN$194&gt;3)*ROW(スコア!$BN$9:$BN$194),),COUNTIF(スコア!$BN:$BN,"&gt;3")-ROW(B62)+1)),"")</f>
        <v/>
      </c>
      <c r="D71" s="3424" t="str">
        <f>IF(COUNTIF(スコア!$BN:$BN,"&gt;3")&gt;=ROW(C62),INDEX(スコア!BO:BO,LARGE(INDEX((スコア!$BN$9:$BN$194&gt;3)*ROW(スコア!$BN$9:$BN$194),),COUNTIF(スコア!$BN:$BN,"&gt;3")-ROW(C62)+1)),"")</f>
        <v/>
      </c>
      <c r="E71" s="3421"/>
      <c r="F71" s="3421"/>
    </row>
    <row r="72" spans="2:6" ht="32.25" customHeight="1">
      <c r="B72" s="3422" t="str">
        <f>IF(COUNTIF(スコア!$BN:$BN,"&gt;3")&gt;=ROW(A63),INDEX(スコア!BM:BM,LARGE(INDEX((スコア!$BN$9:$BN$194&gt;3)*ROW(スコア!$BN$9:$BN$194),),COUNTIF(スコア!$BN:$BN,"&gt;3")-ROW(A63)+1)),"")</f>
        <v/>
      </c>
      <c r="C72" s="3423" t="str">
        <f>IF(COUNTIF(スコア!$BN:$BN,"&gt;3")&gt;=ROW(B63),INDEX(スコア!BN:BN,LARGE(INDEX((スコア!$BN$9:$BN$194&gt;3)*ROW(スコア!$BN$9:$BN$194),),COUNTIF(スコア!$BN:$BN,"&gt;3")-ROW(B63)+1)),"")</f>
        <v/>
      </c>
      <c r="D72" s="3424" t="str">
        <f>IF(COUNTIF(スコア!$BN:$BN,"&gt;3")&gt;=ROW(C63),INDEX(スコア!BO:BO,LARGE(INDEX((スコア!$BN$9:$BN$194&gt;3)*ROW(スコア!$BN$9:$BN$194),),COUNTIF(スコア!$BN:$BN,"&gt;3")-ROW(C63)+1)),"")</f>
        <v/>
      </c>
      <c r="E72" s="3421"/>
      <c r="F72" s="3421"/>
    </row>
    <row r="73" spans="2:6" ht="32.25" customHeight="1">
      <c r="B73" s="3422" t="str">
        <f>IF(COUNTIF(スコア!$BN:$BN,"&gt;3")&gt;=ROW(A64),INDEX(スコア!BM:BM,LARGE(INDEX((スコア!$BN$9:$BN$194&gt;3)*ROW(スコア!$BN$9:$BN$194),),COUNTIF(スコア!$BN:$BN,"&gt;3")-ROW(A64)+1)),"")</f>
        <v/>
      </c>
      <c r="C73" s="3423" t="str">
        <f>IF(COUNTIF(スコア!$BN:$BN,"&gt;3")&gt;=ROW(B64),INDEX(スコア!BN:BN,LARGE(INDEX((スコア!$BN$9:$BN$194&gt;3)*ROW(スコア!$BN$9:$BN$194),),COUNTIF(スコア!$BN:$BN,"&gt;3")-ROW(B64)+1)),"")</f>
        <v/>
      </c>
      <c r="D73" s="3424" t="str">
        <f>IF(COUNTIF(スコア!$BN:$BN,"&gt;3")&gt;=ROW(C64),INDEX(スコア!BO:BO,LARGE(INDEX((スコア!$BN$9:$BN$194&gt;3)*ROW(スコア!$BN$9:$BN$194),),COUNTIF(スコア!$BN:$BN,"&gt;3")-ROW(C64)+1)),"")</f>
        <v/>
      </c>
      <c r="E73" s="3421"/>
      <c r="F73" s="3421"/>
    </row>
    <row r="74" spans="2:6" ht="32.25" customHeight="1">
      <c r="B74" s="3422" t="str">
        <f>IF(COUNTIF(スコア!$BN:$BN,"&gt;3")&gt;=ROW(A65),INDEX(スコア!BM:BM,LARGE(INDEX((スコア!$BN$9:$BN$194&gt;3)*ROW(スコア!$BN$9:$BN$194),),COUNTIF(スコア!$BN:$BN,"&gt;3")-ROW(A65)+1)),"")</f>
        <v/>
      </c>
      <c r="C74" s="3423" t="str">
        <f>IF(COUNTIF(スコア!$BN:$BN,"&gt;3")&gt;=ROW(B65),INDEX(スコア!BN:BN,LARGE(INDEX((スコア!$BN$9:$BN$194&gt;3)*ROW(スコア!$BN$9:$BN$194),),COUNTIF(スコア!$BN:$BN,"&gt;3")-ROW(B65)+1)),"")</f>
        <v/>
      </c>
      <c r="D74" s="3424" t="str">
        <f>IF(COUNTIF(スコア!$BN:$BN,"&gt;3")&gt;=ROW(C65),INDEX(スコア!BO:BO,LARGE(INDEX((スコア!$BN$9:$BN$194&gt;3)*ROW(スコア!$BN$9:$BN$194),),COUNTIF(スコア!$BN:$BN,"&gt;3")-ROW(C65)+1)),"")</f>
        <v/>
      </c>
      <c r="E74" s="3421"/>
      <c r="F74" s="3421"/>
    </row>
    <row r="75" spans="2:6" ht="32.25" customHeight="1">
      <c r="B75" s="3422" t="str">
        <f>IF(COUNTIF(スコア!$BN:$BN,"&gt;3")&gt;=ROW(A66),INDEX(スコア!BM:BM,LARGE(INDEX((スコア!$BN$9:$BN$194&gt;3)*ROW(スコア!$BN$9:$BN$194),),COUNTIF(スコア!$BN:$BN,"&gt;3")-ROW(A66)+1)),"")</f>
        <v/>
      </c>
      <c r="C75" s="3423" t="str">
        <f>IF(COUNTIF(スコア!$BN:$BN,"&gt;3")&gt;=ROW(B66),INDEX(スコア!BN:BN,LARGE(INDEX((スコア!$BN$9:$BN$194&gt;3)*ROW(スコア!$BN$9:$BN$194),),COUNTIF(スコア!$BN:$BN,"&gt;3")-ROW(B66)+1)),"")</f>
        <v/>
      </c>
      <c r="D75" s="3424" t="str">
        <f>IF(COUNTIF(スコア!$BN:$BN,"&gt;3")&gt;=ROW(C66),INDEX(スコア!BO:BO,LARGE(INDEX((スコア!$BN$9:$BN$194&gt;3)*ROW(スコア!$BN$9:$BN$194),),COUNTIF(スコア!$BN:$BN,"&gt;3")-ROW(C66)+1)),"")</f>
        <v/>
      </c>
      <c r="E75" s="3421"/>
      <c r="F75" s="3421"/>
    </row>
    <row r="76" spans="2:6" ht="32.25" customHeight="1">
      <c r="B76" s="3422" t="str">
        <f>IF(COUNTIF(スコア!$BN:$BN,"&gt;3")&gt;=ROW(A67),INDEX(スコア!BM:BM,LARGE(INDEX((スコア!$BN$9:$BN$194&gt;3)*ROW(スコア!$BN$9:$BN$194),),COUNTIF(スコア!$BN:$BN,"&gt;3")-ROW(A67)+1)),"")</f>
        <v/>
      </c>
      <c r="C76" s="3423" t="str">
        <f>IF(COUNTIF(スコア!$BN:$BN,"&gt;3")&gt;=ROW(B67),INDEX(スコア!BN:BN,LARGE(INDEX((スコア!$BN$9:$BN$194&gt;3)*ROW(スコア!$BN$9:$BN$194),),COUNTIF(スコア!$BN:$BN,"&gt;3")-ROW(B67)+1)),"")</f>
        <v/>
      </c>
      <c r="D76" s="3424" t="str">
        <f>IF(COUNTIF(スコア!$BN:$BN,"&gt;3")&gt;=ROW(C67),INDEX(スコア!BO:BO,LARGE(INDEX((スコア!$BN$9:$BN$194&gt;3)*ROW(スコア!$BN$9:$BN$194),),COUNTIF(スコア!$BN:$BN,"&gt;3")-ROW(C67)+1)),"")</f>
        <v/>
      </c>
      <c r="E76" s="3421"/>
      <c r="F76" s="3421"/>
    </row>
    <row r="77" spans="2:6" ht="32.25" customHeight="1">
      <c r="B77" s="3422" t="str">
        <f>IF(COUNTIF(スコア!$BN:$BN,"&gt;3")&gt;=ROW(A68),INDEX(スコア!BM:BM,LARGE(INDEX((スコア!$BN$9:$BN$194&gt;3)*ROW(スコア!$BN$9:$BN$194),),COUNTIF(スコア!$BN:$BN,"&gt;3")-ROW(A68)+1)),"")</f>
        <v/>
      </c>
      <c r="C77" s="3423" t="str">
        <f>IF(COUNTIF(スコア!$BN:$BN,"&gt;3")&gt;=ROW(B68),INDEX(スコア!BN:BN,LARGE(INDEX((スコア!$BN$9:$BN$194&gt;3)*ROW(スコア!$BN$9:$BN$194),),COUNTIF(スコア!$BN:$BN,"&gt;3")-ROW(B68)+1)),"")</f>
        <v/>
      </c>
      <c r="D77" s="3424" t="str">
        <f>IF(COUNTIF(スコア!$BN:$BN,"&gt;3")&gt;=ROW(C68),INDEX(スコア!BO:BO,LARGE(INDEX((スコア!$BN$9:$BN$194&gt;3)*ROW(スコア!$BN$9:$BN$194),),COUNTIF(スコア!$BN:$BN,"&gt;3")-ROW(C68)+1)),"")</f>
        <v/>
      </c>
      <c r="E77" s="3421"/>
      <c r="F77" s="3421"/>
    </row>
    <row r="78" spans="2:6" ht="32.25" customHeight="1">
      <c r="B78" s="3422" t="str">
        <f>IF(COUNTIF(スコア!$BN:$BN,"&gt;3")&gt;=ROW(A69),INDEX(スコア!BM:BM,LARGE(INDEX((スコア!$BN$9:$BN$194&gt;3)*ROW(スコア!$BN$9:$BN$194),),COUNTIF(スコア!$BN:$BN,"&gt;3")-ROW(A69)+1)),"")</f>
        <v/>
      </c>
      <c r="C78" s="3423" t="str">
        <f>IF(COUNTIF(スコア!$BN:$BN,"&gt;3")&gt;=ROW(B69),INDEX(スコア!BN:BN,LARGE(INDEX((スコア!$BN$9:$BN$194&gt;3)*ROW(スコア!$BN$9:$BN$194),),COUNTIF(スコア!$BN:$BN,"&gt;3")-ROW(B69)+1)),"")</f>
        <v/>
      </c>
      <c r="D78" s="3424" t="str">
        <f>IF(COUNTIF(スコア!$BN:$BN,"&gt;3")&gt;=ROW(C69),INDEX(スコア!BO:BO,LARGE(INDEX((スコア!$BN$9:$BN$194&gt;3)*ROW(スコア!$BN$9:$BN$194),),COUNTIF(スコア!$BN:$BN,"&gt;3")-ROW(C69)+1)),"")</f>
        <v/>
      </c>
      <c r="E78" s="3421"/>
      <c r="F78" s="3421"/>
    </row>
    <row r="79" spans="2:6" ht="32.25" customHeight="1">
      <c r="B79" s="3422" t="str">
        <f>IF(COUNTIF(スコア!$BN:$BN,"&gt;3")&gt;=ROW(A70),INDEX(スコア!BM:BM,LARGE(INDEX((スコア!$BN$9:$BN$194&gt;3)*ROW(スコア!$BN$9:$BN$194),),COUNTIF(スコア!$BN:$BN,"&gt;3")-ROW(A70)+1)),"")</f>
        <v/>
      </c>
      <c r="C79" s="3423" t="str">
        <f>IF(COUNTIF(スコア!$BN:$BN,"&gt;3")&gt;=ROW(B70),INDEX(スコア!BN:BN,LARGE(INDEX((スコア!$BN$9:$BN$194&gt;3)*ROW(スコア!$BN$9:$BN$194),),COUNTIF(スコア!$BN:$BN,"&gt;3")-ROW(B70)+1)),"")</f>
        <v/>
      </c>
      <c r="D79" s="3424" t="str">
        <f>IF(COUNTIF(スコア!$BN:$BN,"&gt;3")&gt;=ROW(C70),INDEX(スコア!BO:BO,LARGE(INDEX((スコア!$BN$9:$BN$194&gt;3)*ROW(スコア!$BN$9:$BN$194),),COUNTIF(スコア!$BN:$BN,"&gt;3")-ROW(C70)+1)),"")</f>
        <v/>
      </c>
      <c r="E79" s="3421"/>
      <c r="F79" s="3421"/>
    </row>
    <row r="80" spans="2:6" ht="32.25" customHeight="1">
      <c r="B80" s="3422" t="str">
        <f>IF(COUNTIF(スコア!$BN:$BN,"&gt;3")&gt;=ROW(A71),INDEX(スコア!BM:BM,LARGE(INDEX((スコア!$BN$9:$BN$194&gt;3)*ROW(スコア!$BN$9:$BN$194),),COUNTIF(スコア!$BN:$BN,"&gt;3")-ROW(A71)+1)),"")</f>
        <v/>
      </c>
      <c r="C80" s="3423" t="str">
        <f>IF(COUNTIF(スコア!$BN:$BN,"&gt;3")&gt;=ROW(B71),INDEX(スコア!BN:BN,LARGE(INDEX((スコア!$BN$9:$BN$194&gt;3)*ROW(スコア!$BN$9:$BN$194),),COUNTIF(スコア!$BN:$BN,"&gt;3")-ROW(B71)+1)),"")</f>
        <v/>
      </c>
      <c r="D80" s="3424" t="str">
        <f>IF(COUNTIF(スコア!$BN:$BN,"&gt;3")&gt;=ROW(C71),INDEX(スコア!BO:BO,LARGE(INDEX((スコア!$BN$9:$BN$194&gt;3)*ROW(スコア!$BN$9:$BN$194),),COUNTIF(スコア!$BN:$BN,"&gt;3")-ROW(C71)+1)),"")</f>
        <v/>
      </c>
      <c r="E80" s="3421"/>
      <c r="F80" s="3421"/>
    </row>
    <row r="81" spans="2:6" ht="32.25" customHeight="1">
      <c r="B81" s="3422" t="str">
        <f>IF(COUNTIF(スコア!$BN:$BN,"&gt;3")&gt;=ROW(A72),INDEX(スコア!BM:BM,LARGE(INDEX((スコア!$BN$9:$BN$194&gt;3)*ROW(スコア!$BN$9:$BN$194),),COUNTIF(スコア!$BN:$BN,"&gt;3")-ROW(A72)+1)),"")</f>
        <v/>
      </c>
      <c r="C81" s="3423" t="str">
        <f>IF(COUNTIF(スコア!$BN:$BN,"&gt;3")&gt;=ROW(B72),INDEX(スコア!BN:BN,LARGE(INDEX((スコア!$BN$9:$BN$194&gt;3)*ROW(スコア!$BN$9:$BN$194),),COUNTIF(スコア!$BN:$BN,"&gt;3")-ROW(B72)+1)),"")</f>
        <v/>
      </c>
      <c r="D81" s="3424" t="str">
        <f>IF(COUNTIF(スコア!$BN:$BN,"&gt;3")&gt;=ROW(C72),INDEX(スコア!BO:BO,LARGE(INDEX((スコア!$BN$9:$BN$194&gt;3)*ROW(スコア!$BN$9:$BN$194),),COUNTIF(スコア!$BN:$BN,"&gt;3")-ROW(C72)+1)),"")</f>
        <v/>
      </c>
      <c r="E81" s="3421"/>
      <c r="F81" s="3421"/>
    </row>
    <row r="82" spans="2:6" ht="32.25" customHeight="1">
      <c r="B82" s="3422" t="str">
        <f>IF(COUNTIF(スコア!$BN:$BN,"&gt;3")&gt;=ROW(A73),INDEX(スコア!BM:BM,LARGE(INDEX((スコア!$BN$9:$BN$194&gt;3)*ROW(スコア!$BN$9:$BN$194),),COUNTIF(スコア!$BN:$BN,"&gt;3")-ROW(A73)+1)),"")</f>
        <v/>
      </c>
      <c r="C82" s="3423" t="str">
        <f>IF(COUNTIF(スコア!$BN:$BN,"&gt;3")&gt;=ROW(B73),INDEX(スコア!BN:BN,LARGE(INDEX((スコア!$BN$9:$BN$194&gt;3)*ROW(スコア!$BN$9:$BN$194),),COUNTIF(スコア!$BN:$BN,"&gt;3")-ROW(B73)+1)),"")</f>
        <v/>
      </c>
      <c r="D82" s="3424" t="str">
        <f>IF(COUNTIF(スコア!$BN:$BN,"&gt;3")&gt;=ROW(C73),INDEX(スコア!BO:BO,LARGE(INDEX((スコア!$BN$9:$BN$194&gt;3)*ROW(スコア!$BN$9:$BN$194),),COUNTIF(スコア!$BN:$BN,"&gt;3")-ROW(C73)+1)),"")</f>
        <v/>
      </c>
      <c r="E82" s="3421"/>
      <c r="F82" s="3421"/>
    </row>
    <row r="83" spans="2:6" ht="32.25" customHeight="1">
      <c r="B83" s="3422" t="str">
        <f>IF(COUNTIF(スコア!$BN:$BN,"&gt;3")&gt;=ROW(A74),INDEX(スコア!BM:BM,LARGE(INDEX((スコア!$BN$9:$BN$194&gt;3)*ROW(スコア!$BN$9:$BN$194),),COUNTIF(スコア!$BN:$BN,"&gt;3")-ROW(A74)+1)),"")</f>
        <v/>
      </c>
      <c r="C83" s="3423" t="str">
        <f>IF(COUNTIF(スコア!$BN:$BN,"&gt;3")&gt;=ROW(B74),INDEX(スコア!BN:BN,LARGE(INDEX((スコア!$BN$9:$BN$194&gt;3)*ROW(スコア!$BN$9:$BN$194),),COUNTIF(スコア!$BN:$BN,"&gt;3")-ROW(B74)+1)),"")</f>
        <v/>
      </c>
      <c r="D83" s="3424" t="str">
        <f>IF(COUNTIF(スコア!$BN:$BN,"&gt;3")&gt;=ROW(C74),INDEX(スコア!BO:BO,LARGE(INDEX((スコア!$BN$9:$BN$194&gt;3)*ROW(スコア!$BN$9:$BN$194),),COUNTIF(スコア!$BN:$BN,"&gt;3")-ROW(C74)+1)),"")</f>
        <v/>
      </c>
      <c r="E83" s="3421"/>
      <c r="F83" s="3421"/>
    </row>
    <row r="84" spans="2:6" ht="32.25" customHeight="1">
      <c r="B84" s="3422" t="str">
        <f>IF(COUNTIF(スコア!$BN:$BN,"&gt;3")&gt;=ROW(A75),INDEX(スコア!BM:BM,LARGE(INDEX((スコア!$BN$9:$BN$194&gt;3)*ROW(スコア!$BN$9:$BN$194),),COUNTIF(スコア!$BN:$BN,"&gt;3")-ROW(A75)+1)),"")</f>
        <v/>
      </c>
      <c r="C84" s="3423" t="str">
        <f>IF(COUNTIF(スコア!$BN:$BN,"&gt;3")&gt;=ROW(B75),INDEX(スコア!BN:BN,LARGE(INDEX((スコア!$BN$9:$BN$194&gt;3)*ROW(スコア!$BN$9:$BN$194),),COUNTIF(スコア!$BN:$BN,"&gt;3")-ROW(B75)+1)),"")</f>
        <v/>
      </c>
      <c r="D84" s="3424" t="str">
        <f>IF(COUNTIF(スコア!$BN:$BN,"&gt;3")&gt;=ROW(C75),INDEX(スコア!BO:BO,LARGE(INDEX((スコア!$BN$9:$BN$194&gt;3)*ROW(スコア!$BN$9:$BN$194),),COUNTIF(スコア!$BN:$BN,"&gt;3")-ROW(C75)+1)),"")</f>
        <v/>
      </c>
      <c r="E84" s="3421"/>
      <c r="F84" s="3421"/>
    </row>
    <row r="85" spans="2:6" ht="32.25" customHeight="1">
      <c r="B85" s="3422" t="str">
        <f>IF(COUNTIF(スコア!$BN:$BN,"&gt;3")&gt;=ROW(A76),INDEX(スコア!BM:BM,LARGE(INDEX((スコア!$BN$9:$BN$194&gt;3)*ROW(スコア!$BN$9:$BN$194),),COUNTIF(スコア!$BN:$BN,"&gt;3")-ROW(A76)+1)),"")</f>
        <v/>
      </c>
      <c r="C85" s="3423" t="str">
        <f>IF(COUNTIF(スコア!$BN:$BN,"&gt;3")&gt;=ROW(B76),INDEX(スコア!BN:BN,LARGE(INDEX((スコア!$BN$9:$BN$194&gt;3)*ROW(スコア!$BN$9:$BN$194),),COUNTIF(スコア!$BN:$BN,"&gt;3")-ROW(B76)+1)),"")</f>
        <v/>
      </c>
      <c r="D85" s="3424" t="str">
        <f>IF(COUNTIF(スコア!$BN:$BN,"&gt;3")&gt;=ROW(C76),INDEX(スコア!BO:BO,LARGE(INDEX((スコア!$BN$9:$BN$194&gt;3)*ROW(スコア!$BN$9:$BN$194),),COUNTIF(スコア!$BN:$BN,"&gt;3")-ROW(C76)+1)),"")</f>
        <v/>
      </c>
      <c r="E85" s="3421"/>
      <c r="F85" s="3421"/>
    </row>
    <row r="86" spans="2:6" ht="32.25" customHeight="1">
      <c r="B86" s="3422" t="str">
        <f>IF(COUNTIF(スコア!$BN:$BN,"&gt;3")&gt;=ROW(A77),INDEX(スコア!BM:BM,LARGE(INDEX((スコア!$BN$9:$BN$194&gt;3)*ROW(スコア!$BN$9:$BN$194),),COUNTIF(スコア!$BN:$BN,"&gt;3")-ROW(A77)+1)),"")</f>
        <v/>
      </c>
      <c r="C86" s="3423" t="str">
        <f>IF(COUNTIF(スコア!$BN:$BN,"&gt;3")&gt;=ROW(B77),INDEX(スコア!BN:BN,LARGE(INDEX((スコア!$BN$9:$BN$194&gt;3)*ROW(スコア!$BN$9:$BN$194),),COUNTIF(スコア!$BN:$BN,"&gt;3")-ROW(B77)+1)),"")</f>
        <v/>
      </c>
      <c r="D86" s="3424" t="str">
        <f>IF(COUNTIF(スコア!$BN:$BN,"&gt;3")&gt;=ROW(C77),INDEX(スコア!BO:BO,LARGE(INDEX((スコア!$BN$9:$BN$194&gt;3)*ROW(スコア!$BN$9:$BN$194),),COUNTIF(スコア!$BN:$BN,"&gt;3")-ROW(C77)+1)),"")</f>
        <v/>
      </c>
      <c r="E86" s="3421"/>
      <c r="F86" s="3421"/>
    </row>
    <row r="87" spans="2:6" ht="32.25" customHeight="1">
      <c r="B87" s="3422" t="str">
        <f>IF(COUNTIF(スコア!$BN:$BN,"&gt;3")&gt;=ROW(A78),INDEX(スコア!BM:BM,LARGE(INDEX((スコア!$BN$9:$BN$194&gt;3)*ROW(スコア!$BN$9:$BN$194),),COUNTIF(スコア!$BN:$BN,"&gt;3")-ROW(A78)+1)),"")</f>
        <v/>
      </c>
      <c r="C87" s="3423" t="str">
        <f>IF(COUNTIF(スコア!$BN:$BN,"&gt;3")&gt;=ROW(B78),INDEX(スコア!BN:BN,LARGE(INDEX((スコア!$BN$9:$BN$194&gt;3)*ROW(スコア!$BN$9:$BN$194),),COUNTIF(スコア!$BN:$BN,"&gt;3")-ROW(B78)+1)),"")</f>
        <v/>
      </c>
      <c r="D87" s="3424" t="str">
        <f>IF(COUNTIF(スコア!$BN:$BN,"&gt;3")&gt;=ROW(C78),INDEX(スコア!BO:BO,LARGE(INDEX((スコア!$BN$9:$BN$194&gt;3)*ROW(スコア!$BN$9:$BN$194),),COUNTIF(スコア!$BN:$BN,"&gt;3")-ROW(C78)+1)),"")</f>
        <v/>
      </c>
      <c r="E87" s="3421"/>
      <c r="F87" s="3421"/>
    </row>
    <row r="88" spans="2:6" ht="32.25" customHeight="1">
      <c r="B88" s="3422" t="str">
        <f>IF(COUNTIF(スコア!$BN:$BN,"&gt;3")&gt;=ROW(A79),INDEX(スコア!BM:BM,LARGE(INDEX((スコア!$BN$9:$BN$194&gt;3)*ROW(スコア!$BN$9:$BN$194),),COUNTIF(スコア!$BN:$BN,"&gt;3")-ROW(A79)+1)),"")</f>
        <v/>
      </c>
      <c r="C88" s="3423" t="str">
        <f>IF(COUNTIF(スコア!$BN:$BN,"&gt;3")&gt;=ROW(B79),INDEX(スコア!BN:BN,LARGE(INDEX((スコア!$BN$9:$BN$194&gt;3)*ROW(スコア!$BN$9:$BN$194),),COUNTIF(スコア!$BN:$BN,"&gt;3")-ROW(B79)+1)),"")</f>
        <v/>
      </c>
      <c r="D88" s="3424" t="str">
        <f>IF(COUNTIF(スコア!$BN:$BN,"&gt;3")&gt;=ROW(C79),INDEX(スコア!BO:BO,LARGE(INDEX((スコア!$BN$9:$BN$194&gt;3)*ROW(スコア!$BN$9:$BN$194),),COUNTIF(スコア!$BN:$BN,"&gt;3")-ROW(C79)+1)),"")</f>
        <v/>
      </c>
      <c r="E88" s="3421"/>
      <c r="F88" s="3421"/>
    </row>
    <row r="89" spans="2:6" ht="32.25" customHeight="1">
      <c r="B89" s="3422" t="str">
        <f>IF(COUNTIF(スコア!$BN:$BN,"&gt;3")&gt;=ROW(A80),INDEX(スコア!BM:BM,LARGE(INDEX((スコア!$BN$9:$BN$194&gt;3)*ROW(スコア!$BN$9:$BN$194),),COUNTIF(スコア!$BN:$BN,"&gt;3")-ROW(A80)+1)),"")</f>
        <v/>
      </c>
      <c r="C89" s="3423" t="str">
        <f>IF(COUNTIF(スコア!$BN:$BN,"&gt;3")&gt;=ROW(B80),INDEX(スコア!BN:BN,LARGE(INDEX((スコア!$BN$9:$BN$194&gt;3)*ROW(スコア!$BN$9:$BN$194),),COUNTIF(スコア!$BN:$BN,"&gt;3")-ROW(B80)+1)),"")</f>
        <v/>
      </c>
      <c r="D89" s="3424" t="str">
        <f>IF(COUNTIF(スコア!$BN:$BN,"&gt;3")&gt;=ROW(C80),INDEX(スコア!BO:BO,LARGE(INDEX((スコア!$BN$9:$BN$194&gt;3)*ROW(スコア!$BN$9:$BN$194),),COUNTIF(スコア!$BN:$BN,"&gt;3")-ROW(C80)+1)),"")</f>
        <v/>
      </c>
      <c r="E89" s="3421"/>
      <c r="F89" s="3421"/>
    </row>
    <row r="90" spans="2:6" ht="32.25" customHeight="1">
      <c r="B90" s="3422" t="str">
        <f>IF(COUNTIF(スコア!$BN:$BN,"&gt;3")&gt;=ROW(A81),INDEX(スコア!BM:BM,LARGE(INDEX((スコア!$BN$9:$BN$194&gt;3)*ROW(スコア!$BN$9:$BN$194),),COUNTIF(スコア!$BN:$BN,"&gt;3")-ROW(A81)+1)),"")</f>
        <v/>
      </c>
      <c r="C90" s="3423" t="str">
        <f>IF(COUNTIF(スコア!$BN:$BN,"&gt;3")&gt;=ROW(B81),INDEX(スコア!BN:BN,LARGE(INDEX((スコア!$BN$9:$BN$194&gt;3)*ROW(スコア!$BN$9:$BN$194),),COUNTIF(スコア!$BN:$BN,"&gt;3")-ROW(B81)+1)),"")</f>
        <v/>
      </c>
      <c r="D90" s="3424" t="str">
        <f>IF(COUNTIF(スコア!$BN:$BN,"&gt;3")&gt;=ROW(C81),INDEX(スコア!BO:BO,LARGE(INDEX((スコア!$BN$9:$BN$194&gt;3)*ROW(スコア!$BN$9:$BN$194),),COUNTIF(スコア!$BN:$BN,"&gt;3")-ROW(C81)+1)),"")</f>
        <v/>
      </c>
      <c r="E90" s="3421"/>
      <c r="F90" s="3421"/>
    </row>
    <row r="91" spans="2:6" ht="32.25" customHeight="1">
      <c r="B91" s="3422" t="str">
        <f>IF(COUNTIF(スコア!$BN:$BN,"&gt;3")&gt;=ROW(A82),INDEX(スコア!BM:BM,LARGE(INDEX((スコア!$BN$9:$BN$194&gt;3)*ROW(スコア!$BN$9:$BN$194),),COUNTIF(スコア!$BN:$BN,"&gt;3")-ROW(A82)+1)),"")</f>
        <v/>
      </c>
      <c r="C91" s="3423" t="str">
        <f>IF(COUNTIF(スコア!$BN:$BN,"&gt;3")&gt;=ROW(B82),INDEX(スコア!BN:BN,LARGE(INDEX((スコア!$BN$9:$BN$194&gt;3)*ROW(スコア!$BN$9:$BN$194),),COUNTIF(スコア!$BN:$BN,"&gt;3")-ROW(B82)+1)),"")</f>
        <v/>
      </c>
      <c r="D91" s="3424" t="str">
        <f>IF(COUNTIF(スコア!$BN:$BN,"&gt;3")&gt;=ROW(C82),INDEX(スコア!BO:BO,LARGE(INDEX((スコア!$BN$9:$BN$194&gt;3)*ROW(スコア!$BN$9:$BN$194),),COUNTIF(スコア!$BN:$BN,"&gt;3")-ROW(C82)+1)),"")</f>
        <v/>
      </c>
      <c r="E91" s="3421"/>
      <c r="F91" s="3421"/>
    </row>
    <row r="92" spans="2:6" ht="32.25" customHeight="1">
      <c r="B92" s="3422" t="str">
        <f>IF(COUNTIF(スコア!$BN:$BN,"&gt;3")&gt;=ROW(A83),INDEX(スコア!BM:BM,LARGE(INDEX((スコア!$BN$9:$BN$194&gt;3)*ROW(スコア!$BN$9:$BN$194),),COUNTIF(スコア!$BN:$BN,"&gt;3")-ROW(A83)+1)),"")</f>
        <v/>
      </c>
      <c r="C92" s="3423" t="str">
        <f>IF(COUNTIF(スコア!$BN:$BN,"&gt;3")&gt;=ROW(B83),INDEX(スコア!BN:BN,LARGE(INDEX((スコア!$BN$9:$BN$194&gt;3)*ROW(スコア!$BN$9:$BN$194),),COUNTIF(スコア!$BN:$BN,"&gt;3")-ROW(B83)+1)),"")</f>
        <v/>
      </c>
      <c r="D92" s="3424" t="str">
        <f>IF(COUNTIF(スコア!$BN:$BN,"&gt;3")&gt;=ROW(C83),INDEX(スコア!BO:BO,LARGE(INDEX((スコア!$BN$9:$BN$194&gt;3)*ROW(スコア!$BN$9:$BN$194),),COUNTIF(スコア!$BN:$BN,"&gt;3")-ROW(C83)+1)),"")</f>
        <v/>
      </c>
      <c r="E92" s="3421"/>
      <c r="F92" s="3421"/>
    </row>
    <row r="93" spans="2:6" ht="32.25" customHeight="1">
      <c r="B93" s="3422" t="str">
        <f>IF(COUNTIF(スコア!$BN:$BN,"&gt;3")&gt;=ROW(A84),INDEX(スコア!BM:BM,LARGE(INDEX((スコア!$BN$9:$BN$194&gt;3)*ROW(スコア!$BN$9:$BN$194),),COUNTIF(スコア!$BN:$BN,"&gt;3")-ROW(A84)+1)),"")</f>
        <v/>
      </c>
      <c r="C93" s="3423" t="str">
        <f>IF(COUNTIF(スコア!$BN:$BN,"&gt;3")&gt;=ROW(B84),INDEX(スコア!BN:BN,LARGE(INDEX((スコア!$BN$9:$BN$194&gt;3)*ROW(スコア!$BN$9:$BN$194),),COUNTIF(スコア!$BN:$BN,"&gt;3")-ROW(B84)+1)),"")</f>
        <v/>
      </c>
      <c r="D93" s="3424" t="str">
        <f>IF(COUNTIF(スコア!$BN:$BN,"&gt;3")&gt;=ROW(C84),INDEX(スコア!BO:BO,LARGE(INDEX((スコア!$BN$9:$BN$194&gt;3)*ROW(スコア!$BN$9:$BN$194),),COUNTIF(スコア!$BN:$BN,"&gt;3")-ROW(C84)+1)),"")</f>
        <v/>
      </c>
      <c r="E93" s="3421"/>
      <c r="F93" s="3421"/>
    </row>
    <row r="94" spans="2:6" ht="32.25" customHeight="1">
      <c r="B94" s="3422" t="str">
        <f>IF(COUNTIF(スコア!$BN:$BN,"&gt;3")&gt;=ROW(A85),INDEX(スコア!BM:BM,LARGE(INDEX((スコア!$BN$9:$BN$194&gt;3)*ROW(スコア!$BN$9:$BN$194),),COUNTIF(スコア!$BN:$BN,"&gt;3")-ROW(A85)+1)),"")</f>
        <v/>
      </c>
      <c r="C94" s="3423" t="str">
        <f>IF(COUNTIF(スコア!$BN:$BN,"&gt;3")&gt;=ROW(B85),INDEX(スコア!BN:BN,LARGE(INDEX((スコア!$BN$9:$BN$194&gt;3)*ROW(スコア!$BN$9:$BN$194),),COUNTIF(スコア!$BN:$BN,"&gt;3")-ROW(B85)+1)),"")</f>
        <v/>
      </c>
      <c r="D94" s="3424" t="str">
        <f>IF(COUNTIF(スコア!$BN:$BN,"&gt;3")&gt;=ROW(C85),INDEX(スコア!BO:BO,LARGE(INDEX((スコア!$BN$9:$BN$194&gt;3)*ROW(スコア!$BN$9:$BN$194),),COUNTIF(スコア!$BN:$BN,"&gt;3")-ROW(C85)+1)),"")</f>
        <v/>
      </c>
      <c r="E94" s="3421"/>
      <c r="F94" s="3421"/>
    </row>
    <row r="95" spans="2:6" ht="32.25" customHeight="1">
      <c r="B95" s="3422" t="str">
        <f>IF(COUNTIF(スコア!$BN:$BN,"&gt;3")&gt;=ROW(A86),INDEX(スコア!BM:BM,LARGE(INDEX((スコア!$BN$9:$BN$194&gt;3)*ROW(スコア!$BN$9:$BN$194),),COUNTIF(スコア!$BN:$BN,"&gt;3")-ROW(A86)+1)),"")</f>
        <v/>
      </c>
      <c r="C95" s="3423" t="str">
        <f>IF(COUNTIF(スコア!$BN:$BN,"&gt;3")&gt;=ROW(B86),INDEX(スコア!BN:BN,LARGE(INDEX((スコア!$BN$9:$BN$194&gt;3)*ROW(スコア!$BN$9:$BN$194),),COUNTIF(スコア!$BN:$BN,"&gt;3")-ROW(B86)+1)),"")</f>
        <v/>
      </c>
      <c r="D95" s="3424" t="str">
        <f>IF(COUNTIF(スコア!$BN:$BN,"&gt;3")&gt;=ROW(C86),INDEX(スコア!BO:BO,LARGE(INDEX((スコア!$BN$9:$BN$194&gt;3)*ROW(スコア!$BN$9:$BN$194),),COUNTIF(スコア!$BN:$BN,"&gt;3")-ROW(C86)+1)),"")</f>
        <v/>
      </c>
      <c r="E95" s="3421"/>
      <c r="F95" s="3421"/>
    </row>
    <row r="96" spans="2:6" ht="32.25" customHeight="1">
      <c r="B96" s="3422" t="str">
        <f>IF(COUNTIF(スコア!$BN:$BN,"&gt;3")&gt;=ROW(A87),INDEX(スコア!BM:BM,LARGE(INDEX((スコア!$BN$9:$BN$194&gt;3)*ROW(スコア!$BN$9:$BN$194),),COUNTIF(スコア!$BN:$BN,"&gt;3")-ROW(A87)+1)),"")</f>
        <v/>
      </c>
      <c r="C96" s="3423" t="str">
        <f>IF(COUNTIF(スコア!$BN:$BN,"&gt;3")&gt;=ROW(B87),INDEX(スコア!BN:BN,LARGE(INDEX((スコア!$BN$9:$BN$194&gt;3)*ROW(スコア!$BN$9:$BN$194),),COUNTIF(スコア!$BN:$BN,"&gt;3")-ROW(B87)+1)),"")</f>
        <v/>
      </c>
      <c r="D96" s="3424" t="str">
        <f>IF(COUNTIF(スコア!$BN:$BN,"&gt;3")&gt;=ROW(C87),INDEX(スコア!BO:BO,LARGE(INDEX((スコア!$BN$9:$BN$194&gt;3)*ROW(スコア!$BN$9:$BN$194),),COUNTIF(スコア!$BN:$BN,"&gt;3")-ROW(C87)+1)),"")</f>
        <v/>
      </c>
      <c r="E96" s="3421"/>
      <c r="F96" s="3421"/>
    </row>
    <row r="97" spans="2:6" ht="32.25" customHeight="1">
      <c r="B97" s="3422" t="str">
        <f>IF(COUNTIF(スコア!$BN:$BN,"&gt;3")&gt;=ROW(A88),INDEX(スコア!BM:BM,LARGE(INDEX((スコア!$BN$9:$BN$194&gt;3)*ROW(スコア!$BN$9:$BN$194),),COUNTIF(スコア!$BN:$BN,"&gt;3")-ROW(A88)+1)),"")</f>
        <v/>
      </c>
      <c r="C97" s="3423" t="str">
        <f>IF(COUNTIF(スコア!$BN:$BN,"&gt;3")&gt;=ROW(B88),INDEX(スコア!BN:BN,LARGE(INDEX((スコア!$BN$9:$BN$194&gt;3)*ROW(スコア!$BN$9:$BN$194),),COUNTIF(スコア!$BN:$BN,"&gt;3")-ROW(B88)+1)),"")</f>
        <v/>
      </c>
      <c r="D97" s="3424" t="str">
        <f>IF(COUNTIF(スコア!$BN:$BN,"&gt;3")&gt;=ROW(C88),INDEX(スコア!BO:BO,LARGE(INDEX((スコア!$BN$9:$BN$194&gt;3)*ROW(スコア!$BN$9:$BN$194),),COUNTIF(スコア!$BN:$BN,"&gt;3")-ROW(C88)+1)),"")</f>
        <v/>
      </c>
      <c r="E97" s="3421"/>
      <c r="F97" s="3421"/>
    </row>
    <row r="98" spans="2:6" ht="32.25" customHeight="1">
      <c r="B98" s="3422" t="str">
        <f>IF(COUNTIF(スコア!$BN:$BN,"&gt;3")&gt;=ROW(A89),INDEX(スコア!BM:BM,LARGE(INDEX((スコア!$BN$9:$BN$194&gt;3)*ROW(スコア!$BN$9:$BN$194),),COUNTIF(スコア!$BN:$BN,"&gt;3")-ROW(A89)+1)),"")</f>
        <v/>
      </c>
      <c r="C98" s="3423" t="str">
        <f>IF(COUNTIF(スコア!$BN:$BN,"&gt;3")&gt;=ROW(B89),INDEX(スコア!BN:BN,LARGE(INDEX((スコア!$BN$9:$BN$194&gt;3)*ROW(スコア!$BN$9:$BN$194),),COUNTIF(スコア!$BN:$BN,"&gt;3")-ROW(B89)+1)),"")</f>
        <v/>
      </c>
      <c r="D98" s="3424" t="str">
        <f>IF(COUNTIF(スコア!$BN:$BN,"&gt;3")&gt;=ROW(C89),INDEX(スコア!BO:BO,LARGE(INDEX((スコア!$BN$9:$BN$194&gt;3)*ROW(スコア!$BN$9:$BN$194),),COUNTIF(スコア!$BN:$BN,"&gt;3")-ROW(C89)+1)),"")</f>
        <v/>
      </c>
      <c r="E98" s="3421"/>
      <c r="F98" s="3421"/>
    </row>
    <row r="99" spans="2:6" ht="32.25" customHeight="1">
      <c r="B99" s="3422" t="str">
        <f>IF(COUNTIF(スコア!$BN:$BN,"&gt;3")&gt;=ROW(A90),INDEX(スコア!BM:BM,LARGE(INDEX((スコア!$BN$9:$BN$194&gt;3)*ROW(スコア!$BN$9:$BN$194),),COUNTIF(スコア!$BN:$BN,"&gt;3")-ROW(A90)+1)),"")</f>
        <v/>
      </c>
      <c r="C99" s="3423" t="str">
        <f>IF(COUNTIF(スコア!$BN:$BN,"&gt;3")&gt;=ROW(B90),INDEX(スコア!BN:BN,LARGE(INDEX((スコア!$BN$9:$BN$194&gt;3)*ROW(スコア!$BN$9:$BN$194),),COUNTIF(スコア!$BN:$BN,"&gt;3")-ROW(B90)+1)),"")</f>
        <v/>
      </c>
      <c r="D99" s="3424" t="str">
        <f>IF(COUNTIF(スコア!$BN:$BN,"&gt;3")&gt;=ROW(C90),INDEX(スコア!BO:BO,LARGE(INDEX((スコア!$BN$9:$BN$194&gt;3)*ROW(スコア!$BN$9:$BN$194),),COUNTIF(スコア!$BN:$BN,"&gt;3")-ROW(C90)+1)),"")</f>
        <v/>
      </c>
      <c r="E99" s="3421"/>
      <c r="F99" s="3421"/>
    </row>
    <row r="100" spans="2:6" ht="32.25" customHeight="1">
      <c r="B100" s="3422" t="str">
        <f>IF(COUNTIF(スコア!$BN:$BN,"&gt;3")&gt;=ROW(A91),INDEX(スコア!BM:BM,LARGE(INDEX((スコア!$BN$9:$BN$194&gt;3)*ROW(スコア!$BN$9:$BN$194),),COUNTIF(スコア!$BN:$BN,"&gt;3")-ROW(A91)+1)),"")</f>
        <v/>
      </c>
      <c r="C100" s="3423" t="str">
        <f>IF(COUNTIF(スコア!$BN:$BN,"&gt;3")&gt;=ROW(B91),INDEX(スコア!BN:BN,LARGE(INDEX((スコア!$BN$9:$BN$194&gt;3)*ROW(スコア!$BN$9:$BN$194),),COUNTIF(スコア!$BN:$BN,"&gt;3")-ROW(B91)+1)),"")</f>
        <v/>
      </c>
      <c r="D100" s="3424" t="str">
        <f>IF(COUNTIF(スコア!$BN:$BN,"&gt;3")&gt;=ROW(C91),INDEX(スコア!BO:BO,LARGE(INDEX((スコア!$BN$9:$BN$194&gt;3)*ROW(スコア!$BN$9:$BN$194),),COUNTIF(スコア!$BN:$BN,"&gt;3")-ROW(C91)+1)),"")</f>
        <v/>
      </c>
      <c r="E100" s="3421"/>
      <c r="F100" s="3421"/>
    </row>
    <row r="101" spans="2:6" ht="32.25" customHeight="1">
      <c r="B101" s="3422" t="str">
        <f>IF(COUNTIF(スコア!$BN:$BN,"&gt;3")&gt;=ROW(A92),INDEX(スコア!BM:BM,LARGE(INDEX((スコア!$BN$9:$BN$194&gt;3)*ROW(スコア!$BN$9:$BN$194),),COUNTIF(スコア!$BN:$BN,"&gt;3")-ROW(A92)+1)),"")</f>
        <v/>
      </c>
      <c r="C101" s="3423" t="str">
        <f>IF(COUNTIF(スコア!$BN:$BN,"&gt;3")&gt;=ROW(B92),INDEX(スコア!BN:BN,LARGE(INDEX((スコア!$BN$9:$BN$194&gt;3)*ROW(スコア!$BN$9:$BN$194),),COUNTIF(スコア!$BN:$BN,"&gt;3")-ROW(B92)+1)),"")</f>
        <v/>
      </c>
      <c r="D101" s="3424" t="str">
        <f>IF(COUNTIF(スコア!$BN:$BN,"&gt;3")&gt;=ROW(C92),INDEX(スコア!BO:BO,LARGE(INDEX((スコア!$BN$9:$BN$194&gt;3)*ROW(スコア!$BN$9:$BN$194),),COUNTIF(スコア!$BN:$BN,"&gt;3")-ROW(C92)+1)),"")</f>
        <v/>
      </c>
      <c r="E101" s="3421"/>
      <c r="F101" s="3421"/>
    </row>
    <row r="102" spans="2:6" ht="19.5" customHeight="1"/>
    <row r="103" spans="2:6" ht="19.5" customHeight="1"/>
    <row r="104" spans="2:6" ht="19.5" customHeight="1"/>
    <row r="105" spans="2:6" ht="19.5" customHeight="1"/>
    <row r="106" spans="2:6" ht="19.5" customHeight="1"/>
    <row r="107" spans="2:6" ht="19.5" customHeight="1"/>
    <row r="108" spans="2:6" ht="19.5" customHeight="1"/>
    <row r="109" spans="2:6" ht="19.5" customHeight="1"/>
    <row r="110" spans="2:6" ht="19.5" customHeight="1"/>
    <row r="111" spans="2:6" ht="19.5" customHeight="1"/>
    <row r="112" spans="2:6"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row r="140" ht="19.5" customHeight="1"/>
  </sheetData>
  <sheetProtection algorithmName="SHA-512" hashValue="HXJiELCEPJcYxd8IXkxFGDZPsR25KNblZFmuIHOwPQPJbD1SnrnAP7Iuyy9oOAeiA9zeYovlPtrzhswOzXBBXg==" saltValue="xMOGy80Y8MW7vfb2cfNFgA==" spinCount="100000" sheet="1" formatRows="0" selectLockedCells="1"/>
  <mergeCells count="1">
    <mergeCell ref="B3:F3"/>
  </mergeCells>
  <phoneticPr fontId="21"/>
  <conditionalFormatting sqref="E10:F101">
    <cfRule type="expression" dxfId="4" priority="4">
      <formula>$B10&lt;&gt;""</formula>
    </cfRule>
  </conditionalFormatting>
  <conditionalFormatting sqref="E11:E19">
    <cfRule type="expression" dxfId="3" priority="1">
      <formula>B11&lt;&gt;""</formula>
    </cfRule>
  </conditionalFormatting>
  <pageMargins left="0.9055118110236221" right="0.51181102362204722" top="0.74803149606299213" bottom="0.74803149606299213" header="0.31496062992125984" footer="0.31496062992125984"/>
  <pageSetup paperSize="9" orientation="portrait" r:id="rId1"/>
  <colBreaks count="1" manualBreakCount="1">
    <brk id="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autoPageBreaks="0"/>
  </sheetPr>
  <dimension ref="A1:DM195"/>
  <sheetViews>
    <sheetView showGridLines="0" topLeftCell="A166" zoomScaleNormal="100" zoomScaleSheetLayoutView="100" workbookViewId="0">
      <selection activeCell="C23" sqref="C23:G23"/>
    </sheetView>
  </sheetViews>
  <sheetFormatPr defaultColWidth="0" defaultRowHeight="13.5" customHeight="1" zeroHeight="1"/>
  <cols>
    <col min="1" max="1" width="1.25" customWidth="1"/>
    <col min="2" max="2" width="7.25" style="1847" customWidth="1"/>
    <col min="3" max="3" width="37" style="1848" customWidth="1"/>
    <col min="4" max="4" width="8.875" style="1849" bestFit="1" customWidth="1"/>
    <col min="5" max="5" width="8.875" style="1850" bestFit="1" customWidth="1"/>
    <col min="6" max="6" width="1.625" customWidth="1"/>
    <col min="7" max="14" width="7.875" style="1850" customWidth="1"/>
    <col min="15" max="15" width="2.625" customWidth="1"/>
    <col min="16" max="16" width="5.875" style="1851" customWidth="1"/>
    <col min="17" max="17" width="7.875" style="1851" customWidth="1"/>
    <col min="18" max="18" width="37.25" style="1852" customWidth="1"/>
    <col min="19" max="31" width="6.625" style="1853" customWidth="1"/>
    <col min="32" max="32" width="1.625" customWidth="1"/>
    <col min="33" max="33" width="10.5" style="1854" hidden="1" customWidth="1"/>
    <col min="34" max="34" width="6.875" style="140" hidden="1" customWidth="1"/>
    <col min="35" max="35" width="40.625" style="1855" hidden="1" customWidth="1"/>
    <col min="36" max="36" width="6.375" style="140" hidden="1" customWidth="1"/>
    <col min="37" max="37" width="5.625" style="140" hidden="1" customWidth="1"/>
    <col min="38" max="39" width="6.375" style="140" hidden="1" customWidth="1"/>
    <col min="40" max="40" width="5.625" style="140" hidden="1" customWidth="1"/>
    <col min="41" max="41" width="6.125" style="140" hidden="1" customWidth="1"/>
    <col min="42" max="42" width="8" style="140" hidden="1" customWidth="1"/>
    <col min="43" max="43" width="6.375" style="140" hidden="1" customWidth="1"/>
    <col min="44" max="44" width="5.625" style="140" hidden="1" customWidth="1"/>
    <col min="45" max="45" width="6.375" style="140" hidden="1" customWidth="1"/>
    <col min="46" max="46" width="5.625" style="140" hidden="1" customWidth="1"/>
    <col min="47" max="47" width="7" style="140" hidden="1" customWidth="1"/>
    <col min="48" max="48" width="8.875" style="140" hidden="1" customWidth="1"/>
    <col min="49" max="49" width="1.375" hidden="1" customWidth="1"/>
    <col min="50" max="50" width="6.875" style="1854" hidden="1" customWidth="1"/>
    <col min="51" max="51" width="6.875" style="140" hidden="1" customWidth="1"/>
    <col min="52" max="52" width="37.375" style="1855" hidden="1" customWidth="1"/>
    <col min="53" max="65" width="6.625" style="140" hidden="1" customWidth="1"/>
    <col min="66" max="66" width="1.375" hidden="1" customWidth="1"/>
    <col min="67" max="67" width="6.125" style="1854" hidden="1" customWidth="1"/>
    <col min="68" max="68" width="6.875" style="140" hidden="1" customWidth="1"/>
    <col min="69" max="69" width="37.625" style="1855" hidden="1" customWidth="1"/>
    <col min="70" max="82" width="6.625" style="140" hidden="1" customWidth="1"/>
    <col min="83" max="83" width="1.875" style="1345" hidden="1" customWidth="1"/>
    <col min="84" max="84" width="4.75" hidden="1" customWidth="1"/>
    <col min="85" max="117" width="0" style="1345" hidden="1" customWidth="1"/>
    <col min="118" max="16384" width="9" style="1345" hidden="1"/>
  </cols>
  <sheetData>
    <row r="1" spans="1:117" ht="13.5" customHeight="1"/>
    <row r="2" spans="1:117" s="1868" customFormat="1" ht="17.25">
      <c r="A2"/>
      <c r="B2" s="1856" t="s">
        <v>968</v>
      </c>
      <c r="C2" s="1857"/>
      <c r="D2" s="1858"/>
      <c r="E2" s="1859"/>
      <c r="F2"/>
      <c r="G2" s="1859"/>
      <c r="H2" s="1859"/>
      <c r="I2" s="1860"/>
      <c r="J2" s="1860"/>
      <c r="K2" s="1859"/>
      <c r="L2" s="1859"/>
      <c r="M2" s="1859"/>
      <c r="N2" s="1859"/>
      <c r="O2"/>
      <c r="P2" s="1861" t="s">
        <v>969</v>
      </c>
      <c r="Q2" s="1862"/>
      <c r="R2" s="1863"/>
      <c r="S2" s="1864"/>
      <c r="T2" s="1865"/>
      <c r="U2" s="1865"/>
      <c r="V2" s="1865"/>
      <c r="W2" s="1865"/>
      <c r="X2" s="1865"/>
      <c r="Y2" s="1865"/>
      <c r="Z2" s="1865"/>
      <c r="AA2" s="1865"/>
      <c r="AB2" s="1865"/>
      <c r="AC2" s="1865"/>
      <c r="AD2" s="1865"/>
      <c r="AE2" s="1865"/>
      <c r="AF2"/>
      <c r="AG2" s="1866"/>
      <c r="AH2" s="1864"/>
      <c r="AI2" s="1867"/>
      <c r="AJ2" s="1864"/>
      <c r="AK2" s="1864"/>
      <c r="AL2" s="1864"/>
      <c r="AM2" s="1864"/>
      <c r="AN2" s="1864"/>
      <c r="AO2" s="1864"/>
      <c r="AP2" s="1864"/>
      <c r="AQ2" s="1864"/>
      <c r="AR2" s="1864"/>
      <c r="AS2" s="1864"/>
      <c r="AT2" s="1864"/>
      <c r="AU2" s="1864"/>
      <c r="AV2" s="1864"/>
      <c r="AW2"/>
      <c r="AX2" s="1866"/>
      <c r="AY2" s="1864"/>
      <c r="AZ2" s="1867"/>
      <c r="BA2" s="1864"/>
      <c r="BB2" s="1864"/>
      <c r="BC2" s="1864"/>
      <c r="BD2" s="1864"/>
      <c r="BE2" s="1864"/>
      <c r="BF2" s="1864"/>
      <c r="BG2" s="1864"/>
      <c r="BH2" s="1864"/>
      <c r="BI2" s="1864"/>
      <c r="BJ2" s="1864"/>
      <c r="BK2" s="1864"/>
      <c r="BL2" s="1864"/>
      <c r="BM2" s="1864"/>
      <c r="BN2"/>
      <c r="BO2" s="1866"/>
      <c r="BP2" s="1864"/>
      <c r="BQ2" s="1867"/>
      <c r="BR2" s="1864"/>
      <c r="BS2" s="1864"/>
      <c r="BT2" s="1864"/>
      <c r="BU2" s="1864"/>
      <c r="BV2" s="1864"/>
      <c r="BW2" s="1864"/>
      <c r="BX2" s="1864"/>
      <c r="BY2" s="1864"/>
      <c r="BZ2" s="1864"/>
      <c r="CA2" s="1864"/>
      <c r="CB2" s="1864"/>
      <c r="CC2" s="1864"/>
      <c r="CD2" s="1864"/>
      <c r="CF2"/>
    </row>
    <row r="3" spans="1:117" s="1868" customFormat="1" ht="17.25">
      <c r="A3"/>
      <c r="B3" s="1856"/>
      <c r="C3" s="1857"/>
      <c r="D3" s="1858"/>
      <c r="E3" s="1859"/>
      <c r="F3"/>
      <c r="G3" s="1859"/>
      <c r="H3" s="1859"/>
      <c r="I3" s="1860"/>
      <c r="J3" s="1860"/>
      <c r="K3" s="1859"/>
      <c r="L3" s="1859"/>
      <c r="M3" s="1859"/>
      <c r="N3" s="1859"/>
      <c r="O3"/>
      <c r="P3" s="1869">
        <f>メイン!I3</f>
        <v>2</v>
      </c>
      <c r="Q3" s="814" t="str">
        <f>LEFT(メイン!C5,6)</f>
        <v>CASBEE</v>
      </c>
      <c r="R3" s="1870" t="str">
        <f>メイン!J3</f>
        <v>NC</v>
      </c>
      <c r="S3" s="1871"/>
      <c r="T3" s="1865"/>
      <c r="U3" s="1865"/>
      <c r="V3" s="1865"/>
      <c r="W3" s="1865"/>
      <c r="X3" s="1865"/>
      <c r="Y3" s="1865"/>
      <c r="Z3" s="1865"/>
      <c r="AA3" s="1865"/>
      <c r="AB3" s="1865"/>
      <c r="AC3" s="1865"/>
      <c r="AD3" s="1865"/>
      <c r="AE3" s="1865"/>
      <c r="AF3"/>
      <c r="AG3" s="1869" t="s">
        <v>970</v>
      </c>
      <c r="AH3" s="1864"/>
      <c r="AI3" s="1872"/>
      <c r="AJ3" s="1865"/>
      <c r="AK3" s="1865"/>
      <c r="AL3" s="1865"/>
      <c r="AM3" s="1865"/>
      <c r="AN3" s="1865"/>
      <c r="AO3" s="1865"/>
      <c r="AP3" s="1865"/>
      <c r="AQ3" s="1865"/>
      <c r="AR3" s="1865"/>
      <c r="AS3" s="1865"/>
      <c r="AT3" s="1865"/>
      <c r="AU3" s="1865"/>
      <c r="AV3" s="1865"/>
      <c r="AW3"/>
      <c r="AX3" s="1869" t="s">
        <v>971</v>
      </c>
      <c r="AY3" s="1864"/>
      <c r="AZ3" s="1872"/>
      <c r="BA3" s="1865"/>
      <c r="BB3" s="1865"/>
      <c r="BC3" s="1865"/>
      <c r="BD3" s="1865"/>
      <c r="BE3" s="1865"/>
      <c r="BF3" s="1865"/>
      <c r="BG3" s="1865"/>
      <c r="BH3" s="1865"/>
      <c r="BI3" s="1865"/>
      <c r="BJ3" s="1865"/>
      <c r="BK3" s="1865"/>
      <c r="BL3" s="1865"/>
      <c r="BM3" s="1865"/>
      <c r="BN3"/>
      <c r="BO3" s="1869" t="s">
        <v>972</v>
      </c>
      <c r="BP3" s="1864"/>
      <c r="BQ3" s="1872"/>
      <c r="BR3" s="1865"/>
      <c r="BS3" s="1865"/>
      <c r="BT3" s="1865"/>
      <c r="BU3" s="1865"/>
      <c r="BV3" s="1865"/>
      <c r="BW3" s="1865"/>
      <c r="BX3" s="1865"/>
      <c r="BY3" s="1865"/>
      <c r="BZ3" s="1865"/>
      <c r="CA3" s="1865"/>
      <c r="CB3" s="1865"/>
      <c r="CC3" s="1865"/>
      <c r="CD3" s="1865"/>
      <c r="CE3" s="1865"/>
      <c r="CF3"/>
      <c r="CG3" s="1869" t="s">
        <v>3468</v>
      </c>
      <c r="CH3" s="1864"/>
      <c r="CI3" s="1872"/>
      <c r="CJ3" s="1865"/>
      <c r="CK3" s="1865"/>
      <c r="CL3" s="1865"/>
      <c r="CM3" s="1865"/>
      <c r="CN3" s="1865"/>
      <c r="CO3" s="1865"/>
      <c r="CP3" s="1865"/>
      <c r="CQ3" s="1865"/>
      <c r="CR3" s="1865"/>
      <c r="CS3" s="1865"/>
      <c r="CT3" s="1865"/>
      <c r="CU3" s="1865"/>
      <c r="CV3" s="1865"/>
      <c r="CW3" s="2445"/>
      <c r="CX3" s="1869" t="s">
        <v>3469</v>
      </c>
      <c r="CY3" s="1864"/>
      <c r="CZ3" s="1872"/>
      <c r="DA3" s="1865"/>
      <c r="DB3" s="1865"/>
      <c r="DC3" s="1865"/>
      <c r="DD3" s="1865"/>
      <c r="DE3" s="1865"/>
      <c r="DF3" s="1865"/>
      <c r="DG3" s="1865"/>
      <c r="DH3" s="1865"/>
      <c r="DI3" s="1865"/>
      <c r="DJ3" s="1865"/>
      <c r="DK3" s="1865"/>
      <c r="DL3" s="1865"/>
      <c r="DM3" s="1865"/>
    </row>
    <row r="4" spans="1:117" s="1868" customFormat="1" ht="4.5" customHeight="1">
      <c r="A4"/>
      <c r="B4" s="1856"/>
      <c r="C4" s="1857"/>
      <c r="D4" s="1858"/>
      <c r="E4" s="1859"/>
      <c r="F4"/>
      <c r="G4" s="1859"/>
      <c r="H4" s="1859"/>
      <c r="I4" s="1860"/>
      <c r="J4" s="1860"/>
      <c r="K4" s="1859"/>
      <c r="L4" s="1859"/>
      <c r="M4" s="1859"/>
      <c r="N4" s="1859"/>
      <c r="O4"/>
      <c r="P4" s="1862"/>
      <c r="Q4" s="1862"/>
      <c r="R4" s="1872"/>
      <c r="S4" s="1865"/>
      <c r="T4" s="1865"/>
      <c r="U4" s="1865"/>
      <c r="V4" s="1865"/>
      <c r="W4" s="1865"/>
      <c r="X4" s="1865"/>
      <c r="Y4" s="1865"/>
      <c r="Z4" s="1865"/>
      <c r="AA4" s="1865"/>
      <c r="AB4" s="1865"/>
      <c r="AC4" s="1865"/>
      <c r="AD4" s="1865"/>
      <c r="AE4" s="1865"/>
      <c r="AF4"/>
      <c r="AG4" s="1869"/>
      <c r="AH4" s="1862"/>
      <c r="AI4" s="1872"/>
      <c r="AJ4" s="1865"/>
      <c r="AK4" s="1865"/>
      <c r="AL4" s="1865"/>
      <c r="AM4" s="1865"/>
      <c r="AN4" s="1865"/>
      <c r="AO4" s="1865"/>
      <c r="AP4" s="1865"/>
      <c r="AQ4" s="1865"/>
      <c r="AR4" s="1865"/>
      <c r="AS4" s="1865"/>
      <c r="AT4" s="1865"/>
      <c r="AU4" s="1865"/>
      <c r="AV4" s="1865"/>
      <c r="AW4"/>
      <c r="AX4" s="1869"/>
      <c r="AY4" s="1862"/>
      <c r="AZ4" s="1872"/>
      <c r="BA4" s="1865"/>
      <c r="BB4" s="1865"/>
      <c r="BC4" s="1865"/>
      <c r="BD4" s="1865"/>
      <c r="BE4" s="1865"/>
      <c r="BF4" s="1865"/>
      <c r="BG4" s="1865"/>
      <c r="BH4" s="1865"/>
      <c r="BI4" s="1865"/>
      <c r="BJ4" s="1865"/>
      <c r="BK4" s="1865"/>
      <c r="BL4" s="1865"/>
      <c r="BM4" s="1865"/>
      <c r="BN4"/>
      <c r="BO4" s="1869"/>
      <c r="BP4" s="1862"/>
      <c r="BQ4" s="1872"/>
      <c r="BR4" s="1865"/>
      <c r="BS4" s="1865"/>
      <c r="BT4" s="1865"/>
      <c r="BU4" s="1865"/>
      <c r="BV4" s="1865"/>
      <c r="BW4" s="1865"/>
      <c r="BX4" s="1865"/>
      <c r="BY4" s="1865"/>
      <c r="BZ4" s="1865"/>
      <c r="CA4" s="1865"/>
      <c r="CB4" s="1865"/>
      <c r="CC4" s="1865"/>
      <c r="CD4" s="1865"/>
      <c r="CE4" s="1865"/>
      <c r="CF4"/>
      <c r="CG4" s="1869"/>
      <c r="CH4" s="1862"/>
      <c r="CI4" s="1872"/>
      <c r="CJ4" s="1865"/>
      <c r="CK4" s="1865"/>
      <c r="CL4" s="1865"/>
      <c r="CM4" s="1865"/>
      <c r="CN4" s="1865"/>
      <c r="CO4" s="1865"/>
      <c r="CP4" s="1865"/>
      <c r="CQ4" s="1865"/>
      <c r="CR4" s="1865"/>
      <c r="CS4" s="1865"/>
      <c r="CT4" s="1865"/>
      <c r="CU4" s="1865"/>
      <c r="CV4" s="1865"/>
      <c r="CW4" s="2445"/>
      <c r="CX4" s="1869"/>
      <c r="CY4" s="1862"/>
      <c r="CZ4" s="1872"/>
      <c r="DA4" s="1865"/>
      <c r="DB4" s="1865"/>
      <c r="DC4" s="1865"/>
      <c r="DD4" s="1865"/>
      <c r="DE4" s="1865"/>
      <c r="DF4" s="1865"/>
      <c r="DG4" s="1865"/>
      <c r="DH4" s="1865"/>
      <c r="DI4" s="1865"/>
      <c r="DJ4" s="1865"/>
      <c r="DK4" s="1865"/>
      <c r="DL4" s="1865"/>
      <c r="DM4" s="1865"/>
    </row>
    <row r="5" spans="1:117">
      <c r="B5" s="1873"/>
      <c r="C5" s="1874"/>
      <c r="D5" s="1875" t="s">
        <v>973</v>
      </c>
      <c r="E5" s="1876"/>
      <c r="G5" s="1877" t="s">
        <v>974</v>
      </c>
      <c r="H5" s="1878"/>
      <c r="I5" s="1879" t="s">
        <v>975</v>
      </c>
      <c r="J5" s="1880"/>
      <c r="K5" s="1877" t="s">
        <v>976</v>
      </c>
      <c r="L5" s="1878"/>
      <c r="M5" s="1877" t="s">
        <v>977</v>
      </c>
      <c r="N5" s="1878"/>
      <c r="P5" s="1881"/>
      <c r="Q5" s="1881"/>
      <c r="R5" s="1882"/>
      <c r="S5" s="4201" t="s">
        <v>747</v>
      </c>
      <c r="T5" s="4201"/>
      <c r="U5" s="4201"/>
      <c r="V5" s="4201"/>
      <c r="W5" s="4201"/>
      <c r="X5" s="4201"/>
      <c r="Y5" s="4201"/>
      <c r="Z5" s="4201"/>
      <c r="AA5" s="4202"/>
      <c r="AB5" s="1883" t="s">
        <v>748</v>
      </c>
      <c r="AC5" s="4201" t="s">
        <v>749</v>
      </c>
      <c r="AD5" s="4201"/>
      <c r="AE5" s="4201"/>
      <c r="AG5" s="1884"/>
      <c r="AH5" s="1881"/>
      <c r="AI5" s="1885"/>
      <c r="AJ5" s="4201" t="s">
        <v>747</v>
      </c>
      <c r="AK5" s="4201"/>
      <c r="AL5" s="4201"/>
      <c r="AM5" s="4201"/>
      <c r="AN5" s="4201"/>
      <c r="AO5" s="4201"/>
      <c r="AP5" s="4201"/>
      <c r="AQ5" s="4201"/>
      <c r="AR5" s="4202"/>
      <c r="AS5" s="1883" t="s">
        <v>748</v>
      </c>
      <c r="AT5" s="4201" t="s">
        <v>749</v>
      </c>
      <c r="AU5" s="4201"/>
      <c r="AV5" s="4201"/>
      <c r="AX5" s="1884"/>
      <c r="AY5" s="1881"/>
      <c r="AZ5" s="1885"/>
      <c r="BA5" s="4201" t="s">
        <v>747</v>
      </c>
      <c r="BB5" s="4201"/>
      <c r="BC5" s="4201"/>
      <c r="BD5" s="4201"/>
      <c r="BE5" s="4201"/>
      <c r="BF5" s="4201"/>
      <c r="BG5" s="4201"/>
      <c r="BH5" s="4201"/>
      <c r="BI5" s="4202"/>
      <c r="BJ5" s="1883" t="s">
        <v>748</v>
      </c>
      <c r="BK5" s="4201" t="s">
        <v>749</v>
      </c>
      <c r="BL5" s="4201"/>
      <c r="BM5" s="4201"/>
      <c r="BO5" s="1884"/>
      <c r="BP5" s="1881"/>
      <c r="BQ5" s="1885"/>
      <c r="BR5" s="4201" t="s">
        <v>747</v>
      </c>
      <c r="BS5" s="4201"/>
      <c r="BT5" s="4201"/>
      <c r="BU5" s="4201"/>
      <c r="BV5" s="4201"/>
      <c r="BW5" s="4201"/>
      <c r="BX5" s="4201"/>
      <c r="BY5" s="4201"/>
      <c r="BZ5" s="4202"/>
      <c r="CA5" s="1883" t="s">
        <v>748</v>
      </c>
      <c r="CB5" s="4201" t="s">
        <v>749</v>
      </c>
      <c r="CC5" s="4201"/>
      <c r="CD5" s="4201"/>
      <c r="CE5" s="2296"/>
      <c r="CG5" s="1884"/>
      <c r="CH5" s="1881"/>
      <c r="CI5" s="1885"/>
      <c r="CJ5" s="4201" t="s">
        <v>747</v>
      </c>
      <c r="CK5" s="4201"/>
      <c r="CL5" s="4201"/>
      <c r="CM5" s="4201"/>
      <c r="CN5" s="4201"/>
      <c r="CO5" s="4201"/>
      <c r="CP5" s="4201"/>
      <c r="CQ5" s="4201"/>
      <c r="CR5" s="4202"/>
      <c r="CS5" s="2931" t="s">
        <v>748</v>
      </c>
      <c r="CT5" s="4201" t="s">
        <v>749</v>
      </c>
      <c r="CU5" s="4201"/>
      <c r="CV5" s="4201"/>
      <c r="CW5" s="2445"/>
      <c r="CX5" s="1884"/>
      <c r="CY5" s="1881"/>
      <c r="CZ5" s="1885"/>
      <c r="DA5" s="4201" t="s">
        <v>747</v>
      </c>
      <c r="DB5" s="4201"/>
      <c r="DC5" s="4201"/>
      <c r="DD5" s="4201"/>
      <c r="DE5" s="4201"/>
      <c r="DF5" s="4201"/>
      <c r="DG5" s="4201"/>
      <c r="DH5" s="4201"/>
      <c r="DI5" s="4202"/>
      <c r="DJ5" s="2931" t="s">
        <v>748</v>
      </c>
      <c r="DK5" s="4201" t="s">
        <v>749</v>
      </c>
      <c r="DL5" s="4201"/>
      <c r="DM5" s="4201"/>
    </row>
    <row r="6" spans="1:117" s="1893" customFormat="1">
      <c r="A6"/>
      <c r="B6" s="1886"/>
      <c r="C6" s="1887"/>
      <c r="D6" s="1888" t="s">
        <v>750</v>
      </c>
      <c r="E6" s="1888" t="s">
        <v>751</v>
      </c>
      <c r="F6"/>
      <c r="G6" s="1888" t="s">
        <v>750</v>
      </c>
      <c r="H6" s="1888" t="s">
        <v>751</v>
      </c>
      <c r="I6" s="1888" t="s">
        <v>750</v>
      </c>
      <c r="J6" s="1888" t="s">
        <v>751</v>
      </c>
      <c r="K6" s="1888" t="s">
        <v>750</v>
      </c>
      <c r="L6" s="1888" t="s">
        <v>751</v>
      </c>
      <c r="M6" s="1888" t="s">
        <v>750</v>
      </c>
      <c r="N6" s="1888" t="s">
        <v>751</v>
      </c>
      <c r="O6"/>
      <c r="P6" s="1882"/>
      <c r="Q6" s="1882" t="s">
        <v>1772</v>
      </c>
      <c r="R6" s="1882" t="s">
        <v>752</v>
      </c>
      <c r="S6" s="1889" t="s">
        <v>356</v>
      </c>
      <c r="T6" s="1889" t="s">
        <v>358</v>
      </c>
      <c r="U6" s="1889" t="s">
        <v>360</v>
      </c>
      <c r="V6" s="1889" t="s">
        <v>362</v>
      </c>
      <c r="W6" s="1889" t="s">
        <v>366</v>
      </c>
      <c r="X6" s="1889" t="s">
        <v>368</v>
      </c>
      <c r="Y6" s="1889" t="s">
        <v>370</v>
      </c>
      <c r="Z6" s="1890" t="s">
        <v>1617</v>
      </c>
      <c r="AA6" s="1889" t="s">
        <v>372</v>
      </c>
      <c r="AB6" s="1889" t="s">
        <v>358</v>
      </c>
      <c r="AC6" s="1891" t="s">
        <v>1750</v>
      </c>
      <c r="AD6" s="1889" t="s">
        <v>195</v>
      </c>
      <c r="AE6" s="1889" t="s">
        <v>196</v>
      </c>
      <c r="AF6"/>
      <c r="AG6" s="1892"/>
      <c r="AH6" s="1882" t="s">
        <v>1772</v>
      </c>
      <c r="AI6" s="1885" t="s">
        <v>752</v>
      </c>
      <c r="AJ6" s="1889" t="s">
        <v>356</v>
      </c>
      <c r="AK6" s="1889" t="s">
        <v>358</v>
      </c>
      <c r="AL6" s="1889" t="s">
        <v>360</v>
      </c>
      <c r="AM6" s="1889" t="s">
        <v>362</v>
      </c>
      <c r="AN6" s="1889" t="s">
        <v>366</v>
      </c>
      <c r="AO6" s="1889" t="s">
        <v>368</v>
      </c>
      <c r="AP6" s="1889" t="s">
        <v>370</v>
      </c>
      <c r="AQ6" s="1890" t="s">
        <v>1617</v>
      </c>
      <c r="AR6" s="1889" t="s">
        <v>372</v>
      </c>
      <c r="AS6" s="1889" t="s">
        <v>358</v>
      </c>
      <c r="AT6" s="1891" t="s">
        <v>1750</v>
      </c>
      <c r="AU6" s="1889" t="s">
        <v>195</v>
      </c>
      <c r="AV6" s="1889" t="s">
        <v>196</v>
      </c>
      <c r="AW6"/>
      <c r="AX6" s="1892"/>
      <c r="AY6" s="1882" t="s">
        <v>1772</v>
      </c>
      <c r="AZ6" s="1885" t="s">
        <v>752</v>
      </c>
      <c r="BA6" s="1889" t="s">
        <v>356</v>
      </c>
      <c r="BB6" s="1889" t="s">
        <v>358</v>
      </c>
      <c r="BC6" s="1889" t="s">
        <v>360</v>
      </c>
      <c r="BD6" s="1889" t="s">
        <v>362</v>
      </c>
      <c r="BE6" s="1889" t="s">
        <v>366</v>
      </c>
      <c r="BF6" s="1889" t="s">
        <v>368</v>
      </c>
      <c r="BG6" s="1889" t="s">
        <v>370</v>
      </c>
      <c r="BH6" s="1890" t="s">
        <v>1617</v>
      </c>
      <c r="BI6" s="1889" t="s">
        <v>372</v>
      </c>
      <c r="BJ6" s="1889" t="s">
        <v>358</v>
      </c>
      <c r="BK6" s="1891" t="s">
        <v>1750</v>
      </c>
      <c r="BL6" s="1889" t="s">
        <v>195</v>
      </c>
      <c r="BM6" s="1889" t="s">
        <v>196</v>
      </c>
      <c r="BN6"/>
      <c r="BO6" s="1892"/>
      <c r="BP6" s="1882" t="s">
        <v>1772</v>
      </c>
      <c r="BQ6" s="1885" t="s">
        <v>752</v>
      </c>
      <c r="BR6" s="1889" t="s">
        <v>356</v>
      </c>
      <c r="BS6" s="1889" t="s">
        <v>358</v>
      </c>
      <c r="BT6" s="1889" t="s">
        <v>360</v>
      </c>
      <c r="BU6" s="1889" t="s">
        <v>362</v>
      </c>
      <c r="BV6" s="1889" t="s">
        <v>366</v>
      </c>
      <c r="BW6" s="1889" t="s">
        <v>368</v>
      </c>
      <c r="BX6" s="1889" t="s">
        <v>370</v>
      </c>
      <c r="BY6" s="1890" t="s">
        <v>1617</v>
      </c>
      <c r="BZ6" s="1889" t="s">
        <v>372</v>
      </c>
      <c r="CA6" s="1889" t="s">
        <v>358</v>
      </c>
      <c r="CB6" s="1891" t="s">
        <v>1750</v>
      </c>
      <c r="CC6" s="1889" t="s">
        <v>195</v>
      </c>
      <c r="CD6" s="1889" t="s">
        <v>196</v>
      </c>
      <c r="CE6" s="2297"/>
      <c r="CF6"/>
      <c r="CG6" s="1892"/>
      <c r="CH6" s="1882" t="s">
        <v>1772</v>
      </c>
      <c r="CI6" s="1885" t="s">
        <v>752</v>
      </c>
      <c r="CJ6" s="1889" t="s">
        <v>356</v>
      </c>
      <c r="CK6" s="1889" t="s">
        <v>358</v>
      </c>
      <c r="CL6" s="1889" t="s">
        <v>360</v>
      </c>
      <c r="CM6" s="1889" t="s">
        <v>362</v>
      </c>
      <c r="CN6" s="1889" t="s">
        <v>366</v>
      </c>
      <c r="CO6" s="1889" t="s">
        <v>3470</v>
      </c>
      <c r="CP6" s="1889" t="s">
        <v>370</v>
      </c>
      <c r="CQ6" s="1890" t="s">
        <v>1617</v>
      </c>
      <c r="CR6" s="1889" t="s">
        <v>372</v>
      </c>
      <c r="CS6" s="1889" t="s">
        <v>358</v>
      </c>
      <c r="CT6" s="1891" t="s">
        <v>3471</v>
      </c>
      <c r="CU6" s="1889" t="s">
        <v>3472</v>
      </c>
      <c r="CV6" s="1889" t="s">
        <v>3473</v>
      </c>
      <c r="CW6" s="2445"/>
      <c r="CX6" s="1892"/>
      <c r="CY6" s="1882" t="s">
        <v>1772</v>
      </c>
      <c r="CZ6" s="1885" t="s">
        <v>752</v>
      </c>
      <c r="DA6" s="1889" t="s">
        <v>356</v>
      </c>
      <c r="DB6" s="1889" t="s">
        <v>358</v>
      </c>
      <c r="DC6" s="1889" t="s">
        <v>360</v>
      </c>
      <c r="DD6" s="1889" t="s">
        <v>362</v>
      </c>
      <c r="DE6" s="1889" t="s">
        <v>366</v>
      </c>
      <c r="DF6" s="1889" t="s">
        <v>3470</v>
      </c>
      <c r="DG6" s="1889" t="s">
        <v>370</v>
      </c>
      <c r="DH6" s="1890" t="s">
        <v>1617</v>
      </c>
      <c r="DI6" s="1889" t="s">
        <v>372</v>
      </c>
      <c r="DJ6" s="1889" t="s">
        <v>358</v>
      </c>
      <c r="DK6" s="1891" t="s">
        <v>3471</v>
      </c>
      <c r="DL6" s="1889" t="s">
        <v>3472</v>
      </c>
      <c r="DM6" s="1889" t="s">
        <v>3473</v>
      </c>
    </row>
    <row r="7" spans="1:117">
      <c r="B7" s="1894"/>
      <c r="C7" s="1895" t="s">
        <v>197</v>
      </c>
      <c r="D7" s="1896">
        <f>1-E7</f>
        <v>0.98523622047244097</v>
      </c>
      <c r="E7" s="1897">
        <f>(AC8*W7)+(AD8*X7)+(AE8*Y7)</f>
        <v>1.4763779527559055E-2</v>
      </c>
      <c r="G7" s="1897"/>
      <c r="H7" s="1897"/>
      <c r="I7" s="1897"/>
      <c r="J7" s="1897"/>
      <c r="K7" s="1897"/>
      <c r="L7" s="1897"/>
      <c r="M7" s="1897"/>
      <c r="N7" s="1897"/>
      <c r="P7" s="1881"/>
      <c r="Q7" s="1881" t="s">
        <v>753</v>
      </c>
      <c r="R7" s="1882" t="s">
        <v>754</v>
      </c>
      <c r="S7" s="1898">
        <f>メイン!C47/メイン!$C$19</f>
        <v>0.98425196850393704</v>
      </c>
      <c r="T7" s="1898">
        <f>(メイン!E49+メイン!E53)/メイン!$C$19</f>
        <v>0</v>
      </c>
      <c r="U7" s="1898">
        <f>メイン!C54/メイン!$C$19</f>
        <v>0</v>
      </c>
      <c r="V7" s="1898">
        <f>メイン!C56/メイン!$C$19</f>
        <v>0</v>
      </c>
      <c r="W7" s="1898">
        <f>メイン!C61/メイン!$C$19</f>
        <v>0</v>
      </c>
      <c r="X7" s="1898">
        <f>メイン!C62/メイン!$C$19</f>
        <v>0</v>
      </c>
      <c r="Y7" s="1898">
        <f>メイン!C64/メイン!$C$19</f>
        <v>1.5748031496062992E-2</v>
      </c>
      <c r="Z7" s="1898">
        <f>メイン!C57/メイン!$C$19</f>
        <v>0</v>
      </c>
      <c r="AA7" s="1898">
        <f>メイン!C60/メイン!$C$19</f>
        <v>0</v>
      </c>
      <c r="AB7" s="1898">
        <f>(メイン!E50+メイン!E51+メイン!E52)/メイン!$C$19</f>
        <v>0</v>
      </c>
      <c r="AC7" s="1898">
        <f>W7</f>
        <v>0</v>
      </c>
      <c r="AD7" s="1898">
        <f>X7</f>
        <v>0</v>
      </c>
      <c r="AE7" s="1898">
        <f>Y7</f>
        <v>1.5748031496062992E-2</v>
      </c>
      <c r="AG7" s="1884"/>
      <c r="AH7" s="1881"/>
      <c r="AI7" s="1885"/>
      <c r="AJ7" s="1900"/>
      <c r="AK7" s="1900"/>
      <c r="AL7" s="1900"/>
      <c r="AM7" s="1900"/>
      <c r="AN7" s="1900"/>
      <c r="AO7" s="1900"/>
      <c r="AP7" s="1900"/>
      <c r="AQ7" s="1901"/>
      <c r="AR7" s="1900"/>
      <c r="AS7" s="1900"/>
      <c r="AT7" s="1900"/>
      <c r="AU7" s="1900"/>
      <c r="AV7" s="1900"/>
      <c r="AX7" s="1884"/>
      <c r="AY7" s="1881"/>
      <c r="AZ7" s="1885"/>
      <c r="BA7" s="1900"/>
      <c r="BB7" s="1900"/>
      <c r="BC7" s="1900"/>
      <c r="BD7" s="1900"/>
      <c r="BE7" s="1900"/>
      <c r="BF7" s="1900"/>
      <c r="BG7" s="1900"/>
      <c r="BH7" s="1901"/>
      <c r="BI7" s="1900"/>
      <c r="BJ7" s="1900"/>
      <c r="BK7" s="1900"/>
      <c r="BL7" s="1900"/>
      <c r="BM7" s="1900"/>
      <c r="BO7" s="1884"/>
      <c r="BP7" s="1881"/>
      <c r="BQ7" s="1885"/>
      <c r="BR7" s="1900"/>
      <c r="BS7" s="1900"/>
      <c r="BT7" s="1900"/>
      <c r="BU7" s="1900"/>
      <c r="BV7" s="1900"/>
      <c r="BW7" s="1900"/>
      <c r="BX7" s="1900"/>
      <c r="BY7" s="1901"/>
      <c r="BZ7" s="1900"/>
      <c r="CA7" s="1900"/>
      <c r="CB7" s="1900"/>
      <c r="CC7" s="1900"/>
      <c r="CD7" s="1900"/>
      <c r="CE7" s="2298"/>
      <c r="CG7" s="1884"/>
      <c r="CH7" s="1881"/>
      <c r="CI7" s="1885"/>
      <c r="CJ7" s="1900"/>
      <c r="CK7" s="1900"/>
      <c r="CL7" s="1900"/>
      <c r="CM7" s="1900"/>
      <c r="CN7" s="1900"/>
      <c r="CO7" s="1900"/>
      <c r="CP7" s="1900"/>
      <c r="CQ7" s="1901"/>
      <c r="CR7" s="1900"/>
      <c r="CS7" s="1900"/>
      <c r="CT7" s="1900"/>
      <c r="CU7" s="1900"/>
      <c r="CV7" s="1900"/>
      <c r="CW7" s="2445"/>
      <c r="CX7" s="1884"/>
      <c r="CY7" s="1881"/>
      <c r="CZ7" s="1885"/>
      <c r="DA7" s="1900"/>
      <c r="DB7" s="1900"/>
      <c r="DC7" s="1900"/>
      <c r="DD7" s="1900"/>
      <c r="DE7" s="1900"/>
      <c r="DF7" s="1900"/>
      <c r="DG7" s="1900"/>
      <c r="DH7" s="1901"/>
      <c r="DI7" s="1900"/>
      <c r="DJ7" s="1900"/>
      <c r="DK7" s="1900"/>
      <c r="DL7" s="1900"/>
      <c r="DM7" s="1900"/>
    </row>
    <row r="8" spans="1:117" s="1328" customFormat="1" ht="14.25">
      <c r="A8"/>
      <c r="B8" s="1902" t="s">
        <v>198</v>
      </c>
      <c r="C8" s="1903" t="s">
        <v>764</v>
      </c>
      <c r="D8" s="1904"/>
      <c r="E8" s="1905"/>
      <c r="F8"/>
      <c r="G8" s="1905"/>
      <c r="H8" s="1905"/>
      <c r="I8" s="1905">
        <f>G9+G62+G112</f>
        <v>1</v>
      </c>
      <c r="J8" s="1905">
        <f>H9+H62+H112</f>
        <v>0</v>
      </c>
      <c r="K8" s="1905"/>
      <c r="L8" s="1905"/>
      <c r="M8" s="1905"/>
      <c r="N8" s="1905"/>
      <c r="O8"/>
      <c r="P8" s="1902"/>
      <c r="Q8" s="1902" t="s">
        <v>199</v>
      </c>
      <c r="R8" s="1882" t="s">
        <v>765</v>
      </c>
      <c r="S8" s="1898"/>
      <c r="T8" s="1898"/>
      <c r="U8" s="1898"/>
      <c r="V8" s="1898"/>
      <c r="W8" s="1898">
        <f>1-メイン!F68</f>
        <v>1</v>
      </c>
      <c r="X8" s="1898">
        <f>1-メイン!F69</f>
        <v>1</v>
      </c>
      <c r="Y8" s="1898">
        <f>1-メイン!F70</f>
        <v>6.25E-2</v>
      </c>
      <c r="Z8" s="1899"/>
      <c r="AA8" s="1898"/>
      <c r="AB8" s="1898"/>
      <c r="AC8" s="1906">
        <f>メイン!F68</f>
        <v>0</v>
      </c>
      <c r="AD8" s="1907">
        <f>メイン!F69</f>
        <v>0</v>
      </c>
      <c r="AE8" s="1898">
        <f>メイン!F70</f>
        <v>0.9375</v>
      </c>
      <c r="AF8"/>
      <c r="AG8" s="1908" t="s">
        <v>200</v>
      </c>
      <c r="AH8" s="1902"/>
      <c r="AI8" s="1909" t="s">
        <v>201</v>
      </c>
      <c r="AJ8" s="1910"/>
      <c r="AK8" s="1910"/>
      <c r="AL8" s="1910"/>
      <c r="AM8" s="1910"/>
      <c r="AN8" s="1910"/>
      <c r="AO8" s="1910"/>
      <c r="AP8" s="1910"/>
      <c r="AQ8" s="1911"/>
      <c r="AR8" s="1910"/>
      <c r="AS8" s="1910"/>
      <c r="AT8" s="1912"/>
      <c r="AU8" s="1913"/>
      <c r="AV8" s="1913"/>
      <c r="AW8"/>
      <c r="AX8" s="1908" t="s">
        <v>200</v>
      </c>
      <c r="AY8" s="1902"/>
      <c r="AZ8" s="1909" t="s">
        <v>201</v>
      </c>
      <c r="BA8" s="1910"/>
      <c r="BB8" s="1910"/>
      <c r="BC8" s="1910"/>
      <c r="BD8" s="1910"/>
      <c r="BE8" s="1910"/>
      <c r="BF8" s="1910"/>
      <c r="BG8" s="1910"/>
      <c r="BH8" s="1911"/>
      <c r="BI8" s="1910"/>
      <c r="BJ8" s="1910"/>
      <c r="BK8" s="1912"/>
      <c r="BL8" s="1913"/>
      <c r="BM8" s="1913"/>
      <c r="BN8"/>
      <c r="BO8" s="1908" t="s">
        <v>200</v>
      </c>
      <c r="BP8" s="1902"/>
      <c r="BQ8" s="1909" t="s">
        <v>201</v>
      </c>
      <c r="BR8" s="1910"/>
      <c r="BS8" s="1910"/>
      <c r="BT8" s="1910"/>
      <c r="BU8" s="1910"/>
      <c r="BV8" s="1910"/>
      <c r="BW8" s="1910"/>
      <c r="BX8" s="1910"/>
      <c r="BY8" s="1911"/>
      <c r="BZ8" s="1910"/>
      <c r="CA8" s="1910"/>
      <c r="CB8" s="1912"/>
      <c r="CC8" s="1913"/>
      <c r="CD8" s="1913"/>
      <c r="CE8" s="2299"/>
      <c r="CF8"/>
      <c r="CG8" s="1908" t="s">
        <v>3474</v>
      </c>
      <c r="CH8" s="1902"/>
      <c r="CI8" s="1909" t="s">
        <v>3475</v>
      </c>
      <c r="CJ8" s="1910"/>
      <c r="CK8" s="1910"/>
      <c r="CL8" s="1910"/>
      <c r="CM8" s="1910"/>
      <c r="CN8" s="1910"/>
      <c r="CO8" s="1910"/>
      <c r="CP8" s="1910"/>
      <c r="CQ8" s="1911"/>
      <c r="CR8" s="1910"/>
      <c r="CS8" s="1910"/>
      <c r="CT8" s="1912"/>
      <c r="CU8" s="1913"/>
      <c r="CV8" s="1913"/>
      <c r="CW8" s="2445"/>
      <c r="CX8" s="1908" t="s">
        <v>3474</v>
      </c>
      <c r="CY8" s="1902"/>
      <c r="CZ8" s="1909" t="s">
        <v>3475</v>
      </c>
      <c r="DA8" s="1910">
        <f>BR8</f>
        <v>0</v>
      </c>
      <c r="DB8" s="1910"/>
      <c r="DC8" s="1910"/>
      <c r="DD8" s="1910"/>
      <c r="DE8" s="1910"/>
      <c r="DF8" s="1910"/>
      <c r="DG8" s="1910"/>
      <c r="DH8" s="1911"/>
      <c r="DI8" s="1910"/>
      <c r="DJ8" s="1910"/>
      <c r="DK8" s="1912"/>
      <c r="DL8" s="1913"/>
      <c r="DM8" s="1913"/>
    </row>
    <row r="9" spans="1:117" s="1328" customFormat="1">
      <c r="A9"/>
      <c r="B9" s="1914" t="str">
        <f t="shared" ref="B9:B42" si="0">P9</f>
        <v>Q1</v>
      </c>
      <c r="C9" s="1915" t="str">
        <f t="shared" ref="C9:C41" si="1">R9</f>
        <v>室内環境</v>
      </c>
      <c r="D9" s="1916">
        <f>IF(I$8=0,0,G9/I$8)</f>
        <v>0.4</v>
      </c>
      <c r="E9" s="1917">
        <f>IF(J$8=0,0,H9/J$8)</f>
        <v>0</v>
      </c>
      <c r="F9"/>
      <c r="G9" s="1917">
        <f t="shared" ref="G9:G41" si="2">K9*M9</f>
        <v>0.4</v>
      </c>
      <c r="H9" s="1917">
        <f t="shared" ref="H9:H41" si="3">L9*N9</f>
        <v>0</v>
      </c>
      <c r="I9" s="1917">
        <f>G10+G20+G35+G48</f>
        <v>1</v>
      </c>
      <c r="J9" s="1917">
        <f>H10+H20+H35+H48</f>
        <v>0</v>
      </c>
      <c r="K9" s="1917">
        <f>IF(スコア!V9=0,0,1)</f>
        <v>1</v>
      </c>
      <c r="L9" s="1917">
        <f>IF(スコア!T9=0,0,1)</f>
        <v>0</v>
      </c>
      <c r="M9" s="1917">
        <f t="shared" ref="M9:M41" si="4">SUMPRODUCT($S$7:$AB$7,S9:AB9)</f>
        <v>0.4</v>
      </c>
      <c r="N9" s="1917">
        <f t="shared" ref="N9:N41" si="5">(AC$7*AC9)+(AD$7*AD9)+(AE$7*AE9)</f>
        <v>0</v>
      </c>
      <c r="O9"/>
      <c r="P9" s="1914" t="str">
        <f t="shared" ref="P9:AA40" si="6">IF($P$3=1,AX9,IF($P$3=2,BO9,IF($P$3=3,CG9,IF($P$3=4,CX9,AG9))))</f>
        <v>Q1</v>
      </c>
      <c r="Q9" s="1914" t="str">
        <f t="shared" si="6"/>
        <v xml:space="preserve"> Q</v>
      </c>
      <c r="R9" s="1918" t="str">
        <f t="shared" si="6"/>
        <v>室内環境</v>
      </c>
      <c r="S9" s="1919">
        <f>IF($P$3=1,BA9,IF($P$3=2,BR9,IF($P$3=3,CJ9,IF($P$3=4,DA9,AJ9))))</f>
        <v>0.4</v>
      </c>
      <c r="T9" s="1919">
        <f t="shared" ref="T9:AA24" si="7">IF($P$3=1,BB9,IF($P$3=2,BS9,IF($P$3=3,CK9,IF($P$3=4,DB9,AK9))))</f>
        <v>0.4</v>
      </c>
      <c r="U9" s="1919">
        <f t="shared" si="7"/>
        <v>0.4</v>
      </c>
      <c r="V9" s="1919">
        <f t="shared" si="7"/>
        <v>0.4</v>
      </c>
      <c r="W9" s="1919">
        <f t="shared" si="7"/>
        <v>0.4</v>
      </c>
      <c r="X9" s="1919">
        <f t="shared" si="7"/>
        <v>0.4</v>
      </c>
      <c r="Y9" s="1919">
        <f t="shared" si="7"/>
        <v>0.4</v>
      </c>
      <c r="Z9" s="1919">
        <f t="shared" si="7"/>
        <v>0.4</v>
      </c>
      <c r="AA9" s="2411">
        <f>IF($Q$3="coCASB",0,IF($P$3=1,BI9,IF($P$3=2,BZ9,IF($P$3=3,CR9,IF($P$3=4,DI9,AR9)))))</f>
        <v>0.3</v>
      </c>
      <c r="AB9" s="1919">
        <f t="shared" ref="AB9:AE63" si="8">IF($P$3=1,BJ9,IF($P$3=2,CA9,IF($P$3=3,CS9,IF($P$3=4,DJ9,AS9))))</f>
        <v>0.4</v>
      </c>
      <c r="AC9" s="1920">
        <f t="shared" si="8"/>
        <v>0</v>
      </c>
      <c r="AD9" s="1919">
        <f t="shared" si="8"/>
        <v>0</v>
      </c>
      <c r="AE9" s="1919">
        <f>IF($P$3=1,BM9,IF($P$3=2,CD9,IF($P$3=3,CV9,IF($P$3=4,DM9,AV9))))</f>
        <v>0</v>
      </c>
      <c r="AF9"/>
      <c r="AG9" s="1914" t="s">
        <v>202</v>
      </c>
      <c r="AH9" s="1921" t="s">
        <v>766</v>
      </c>
      <c r="AI9" s="1918" t="s">
        <v>203</v>
      </c>
      <c r="AJ9" s="1919">
        <v>0.4</v>
      </c>
      <c r="AK9" s="1919">
        <v>0.4</v>
      </c>
      <c r="AL9" s="1919">
        <v>0.4</v>
      </c>
      <c r="AM9" s="1919">
        <v>0.4</v>
      </c>
      <c r="AN9" s="1919">
        <v>0.4</v>
      </c>
      <c r="AO9" s="1919">
        <v>0.4</v>
      </c>
      <c r="AP9" s="1919">
        <v>0.4</v>
      </c>
      <c r="AQ9" s="1919">
        <v>0.4</v>
      </c>
      <c r="AR9" s="1919">
        <v>0.3</v>
      </c>
      <c r="AS9" s="1922">
        <v>0.4</v>
      </c>
      <c r="AT9" s="1923"/>
      <c r="AU9" s="1922"/>
      <c r="AV9" s="1922"/>
      <c r="AW9"/>
      <c r="AX9" s="1914" t="s">
        <v>202</v>
      </c>
      <c r="AY9" s="1921" t="s">
        <v>766</v>
      </c>
      <c r="AZ9" s="1918" t="s">
        <v>203</v>
      </c>
      <c r="BA9" s="1922">
        <v>0.4</v>
      </c>
      <c r="BB9" s="1922">
        <v>0.4</v>
      </c>
      <c r="BC9" s="1922">
        <v>0.4</v>
      </c>
      <c r="BD9" s="1922">
        <v>0.4</v>
      </c>
      <c r="BE9" s="1922">
        <v>0.4</v>
      </c>
      <c r="BF9" s="1922">
        <v>0.4</v>
      </c>
      <c r="BG9" s="1922">
        <v>0.4</v>
      </c>
      <c r="BH9" s="1922">
        <v>0.4</v>
      </c>
      <c r="BI9" s="1922">
        <v>0.3</v>
      </c>
      <c r="BJ9" s="1922">
        <v>0.4</v>
      </c>
      <c r="BK9" s="1923"/>
      <c r="BL9" s="1922"/>
      <c r="BM9" s="1922"/>
      <c r="BN9"/>
      <c r="BO9" s="1914" t="s">
        <v>3670</v>
      </c>
      <c r="BP9" s="1921" t="s">
        <v>766</v>
      </c>
      <c r="BQ9" s="1918" t="s">
        <v>1761</v>
      </c>
      <c r="BR9" s="1922">
        <v>0.4</v>
      </c>
      <c r="BS9" s="1922">
        <v>0.4</v>
      </c>
      <c r="BT9" s="1922">
        <v>0.4</v>
      </c>
      <c r="BU9" s="1922">
        <v>0.4</v>
      </c>
      <c r="BV9" s="1922">
        <v>0.4</v>
      </c>
      <c r="BW9" s="1922">
        <v>0.4</v>
      </c>
      <c r="BX9" s="1922">
        <v>0.4</v>
      </c>
      <c r="BY9" s="1922">
        <v>0.4</v>
      </c>
      <c r="BZ9" s="1922">
        <v>0.3</v>
      </c>
      <c r="CA9" s="1922">
        <v>0.4</v>
      </c>
      <c r="CB9" s="1923"/>
      <c r="CC9" s="1922"/>
      <c r="CD9" s="1922"/>
      <c r="CE9" s="2300"/>
      <c r="CF9"/>
      <c r="CG9" s="1914" t="s">
        <v>3476</v>
      </c>
      <c r="CH9" s="1921" t="s">
        <v>766</v>
      </c>
      <c r="CI9" s="1918" t="s">
        <v>3477</v>
      </c>
      <c r="CJ9" s="2932">
        <v>0.5</v>
      </c>
      <c r="CK9" s="2932">
        <v>0.5</v>
      </c>
      <c r="CL9" s="2932">
        <v>0.5</v>
      </c>
      <c r="CM9" s="2932">
        <v>0.5</v>
      </c>
      <c r="CN9" s="2932">
        <v>0.5</v>
      </c>
      <c r="CO9" s="2932">
        <v>0.5</v>
      </c>
      <c r="CP9" s="2932">
        <v>0.5</v>
      </c>
      <c r="CQ9" s="2932">
        <v>0.5</v>
      </c>
      <c r="CR9" s="2932">
        <v>0.35</v>
      </c>
      <c r="CS9" s="2932">
        <v>0.5</v>
      </c>
      <c r="CT9" s="2933">
        <f t="shared" ref="CT9:CV75" si="9">CB9</f>
        <v>0</v>
      </c>
      <c r="CU9" s="2934">
        <f t="shared" si="9"/>
        <v>0</v>
      </c>
      <c r="CV9" s="2934">
        <f t="shared" si="9"/>
        <v>0</v>
      </c>
      <c r="CW9" s="2445"/>
      <c r="CX9" s="1914" t="s">
        <v>3476</v>
      </c>
      <c r="CY9" s="1921" t="s">
        <v>766</v>
      </c>
      <c r="CZ9" s="1918" t="s">
        <v>3478</v>
      </c>
      <c r="DA9" s="2935">
        <v>0.5</v>
      </c>
      <c r="DB9" s="2932"/>
      <c r="DC9" s="2932"/>
      <c r="DD9" s="2932"/>
      <c r="DE9" s="2932"/>
      <c r="DF9" s="2932"/>
      <c r="DG9" s="2932"/>
      <c r="DH9" s="2932"/>
      <c r="DI9" s="2932"/>
      <c r="DJ9" s="2932"/>
      <c r="DK9" s="2936"/>
      <c r="DL9" s="2932"/>
      <c r="DM9" s="2932"/>
    </row>
    <row r="10" spans="1:117" s="1328" customFormat="1">
      <c r="A10"/>
      <c r="B10" s="1914">
        <f t="shared" si="0"/>
        <v>1</v>
      </c>
      <c r="C10" s="1924" t="str">
        <f t="shared" si="1"/>
        <v>音環境</v>
      </c>
      <c r="D10" s="1925">
        <f>IF(I$9=0,0,G10/I$9)</f>
        <v>0.15</v>
      </c>
      <c r="E10" s="1926">
        <f>IF(J$9=0,0,H10/J$9)</f>
        <v>0</v>
      </c>
      <c r="F10"/>
      <c r="G10" s="1926">
        <f t="shared" si="2"/>
        <v>0.15</v>
      </c>
      <c r="H10" s="1926">
        <f t="shared" si="3"/>
        <v>0</v>
      </c>
      <c r="I10" s="1927">
        <f>G11+G14+G19</f>
        <v>1</v>
      </c>
      <c r="J10" s="1927">
        <f>H11+H14+H19</f>
        <v>1.5748031496062992E-2</v>
      </c>
      <c r="K10" s="1926">
        <f>IF(スコア!Q10=0,0,1)</f>
        <v>1</v>
      </c>
      <c r="L10" s="1926">
        <f>IF(スコア!T10=0,0,1)</f>
        <v>1</v>
      </c>
      <c r="M10" s="1926">
        <f t="shared" si="4"/>
        <v>0.15</v>
      </c>
      <c r="N10" s="1926">
        <f t="shared" si="5"/>
        <v>0</v>
      </c>
      <c r="O10"/>
      <c r="P10" s="1928">
        <f t="shared" si="6"/>
        <v>1</v>
      </c>
      <c r="Q10" s="1928" t="str">
        <f t="shared" si="6"/>
        <v xml:space="preserve"> Q1</v>
      </c>
      <c r="R10" s="1929" t="str">
        <f t="shared" si="6"/>
        <v>音環境</v>
      </c>
      <c r="S10" s="1930">
        <f t="shared" si="6"/>
        <v>0.15</v>
      </c>
      <c r="T10" s="1930">
        <f t="shared" si="7"/>
        <v>0.15</v>
      </c>
      <c r="U10" s="1930">
        <f t="shared" si="7"/>
        <v>0.15</v>
      </c>
      <c r="V10" s="1930">
        <f t="shared" si="7"/>
        <v>0.15</v>
      </c>
      <c r="W10" s="1930">
        <f t="shared" si="7"/>
        <v>0.15</v>
      </c>
      <c r="X10" s="1930">
        <f t="shared" si="7"/>
        <v>0.15</v>
      </c>
      <c r="Y10" s="1930">
        <f t="shared" si="7"/>
        <v>0.15</v>
      </c>
      <c r="Z10" s="1931">
        <f t="shared" si="7"/>
        <v>0.15</v>
      </c>
      <c r="AA10" s="1930">
        <f t="shared" si="7"/>
        <v>0.15</v>
      </c>
      <c r="AB10" s="1930">
        <f t="shared" si="8"/>
        <v>0.15</v>
      </c>
      <c r="AC10" s="1932">
        <f t="shared" si="8"/>
        <v>0</v>
      </c>
      <c r="AD10" s="1930">
        <f t="shared" si="8"/>
        <v>0</v>
      </c>
      <c r="AE10" s="1930">
        <f t="shared" si="8"/>
        <v>0</v>
      </c>
      <c r="AF10"/>
      <c r="AG10" s="1928">
        <v>1</v>
      </c>
      <c r="AH10" s="1933" t="s">
        <v>767</v>
      </c>
      <c r="AI10" s="1929" t="s">
        <v>757</v>
      </c>
      <c r="AJ10" s="1930">
        <v>0.15</v>
      </c>
      <c r="AK10" s="1930">
        <v>0.15</v>
      </c>
      <c r="AL10" s="1930">
        <v>0.15</v>
      </c>
      <c r="AM10" s="1930">
        <v>0.15</v>
      </c>
      <c r="AN10" s="1930">
        <v>0.15</v>
      </c>
      <c r="AO10" s="1930">
        <v>0.15</v>
      </c>
      <c r="AP10" s="1930">
        <v>0.15</v>
      </c>
      <c r="AQ10" s="1931">
        <v>0.23</v>
      </c>
      <c r="AR10" s="1930">
        <v>0.15</v>
      </c>
      <c r="AS10" s="1934">
        <v>0.15</v>
      </c>
      <c r="AT10" s="1935"/>
      <c r="AU10" s="1934"/>
      <c r="AV10" s="1934"/>
      <c r="AW10"/>
      <c r="AX10" s="1928">
        <v>1</v>
      </c>
      <c r="AY10" s="1933" t="s">
        <v>767</v>
      </c>
      <c r="AZ10" s="1929" t="s">
        <v>757</v>
      </c>
      <c r="BA10" s="1934">
        <v>0.15</v>
      </c>
      <c r="BB10" s="1934">
        <v>0.15</v>
      </c>
      <c r="BC10" s="1934">
        <v>0.15</v>
      </c>
      <c r="BD10" s="1934">
        <v>0.15</v>
      </c>
      <c r="BE10" s="1934">
        <v>0.15</v>
      </c>
      <c r="BF10" s="1934">
        <v>0.15</v>
      </c>
      <c r="BG10" s="1934">
        <v>0.15</v>
      </c>
      <c r="BH10" s="1936">
        <v>0.23</v>
      </c>
      <c r="BI10" s="1934">
        <v>0.15</v>
      </c>
      <c r="BJ10" s="1934">
        <v>0.15</v>
      </c>
      <c r="BK10" s="1935"/>
      <c r="BL10" s="1934"/>
      <c r="BM10" s="1934"/>
      <c r="BN10"/>
      <c r="BO10" s="1928">
        <v>1</v>
      </c>
      <c r="BP10" s="1933" t="s">
        <v>767</v>
      </c>
      <c r="BQ10" s="1929" t="s">
        <v>757</v>
      </c>
      <c r="BR10" s="1934">
        <v>0.15</v>
      </c>
      <c r="BS10" s="1934">
        <v>0.15</v>
      </c>
      <c r="BT10" s="1934">
        <v>0.15</v>
      </c>
      <c r="BU10" s="1934">
        <v>0.15</v>
      </c>
      <c r="BV10" s="1934">
        <v>0.15</v>
      </c>
      <c r="BW10" s="1934">
        <v>0.15</v>
      </c>
      <c r="BX10" s="1934">
        <v>0.15</v>
      </c>
      <c r="BY10" s="1936">
        <v>0.15</v>
      </c>
      <c r="BZ10" s="1934">
        <v>0.15</v>
      </c>
      <c r="CA10" s="1934">
        <v>0.15</v>
      </c>
      <c r="CB10" s="1935"/>
      <c r="CC10" s="1934"/>
      <c r="CD10" s="1934"/>
      <c r="CE10" s="2301"/>
      <c r="CF10"/>
      <c r="CG10" s="1928">
        <v>1</v>
      </c>
      <c r="CH10" s="1933" t="s">
        <v>767</v>
      </c>
      <c r="CI10" s="1929" t="s">
        <v>757</v>
      </c>
      <c r="CJ10" s="2937">
        <f t="shared" ref="CJ10:CS44" si="10">BR10</f>
        <v>0.15</v>
      </c>
      <c r="CK10" s="2937">
        <f t="shared" si="10"/>
        <v>0.15</v>
      </c>
      <c r="CL10" s="2937">
        <f t="shared" si="10"/>
        <v>0.15</v>
      </c>
      <c r="CM10" s="2937">
        <f t="shared" si="10"/>
        <v>0.15</v>
      </c>
      <c r="CN10" s="2937">
        <f t="shared" si="10"/>
        <v>0.15</v>
      </c>
      <c r="CO10" s="2937">
        <f t="shared" si="10"/>
        <v>0.15</v>
      </c>
      <c r="CP10" s="2937">
        <f t="shared" si="10"/>
        <v>0.15</v>
      </c>
      <c r="CQ10" s="2938">
        <f t="shared" si="10"/>
        <v>0.15</v>
      </c>
      <c r="CR10" s="2937">
        <f t="shared" si="10"/>
        <v>0.15</v>
      </c>
      <c r="CS10" s="2937">
        <f t="shared" si="10"/>
        <v>0.15</v>
      </c>
      <c r="CT10" s="2939">
        <f t="shared" si="9"/>
        <v>0</v>
      </c>
      <c r="CU10" s="2937">
        <f t="shared" si="9"/>
        <v>0</v>
      </c>
      <c r="CV10" s="2937">
        <f t="shared" si="9"/>
        <v>0</v>
      </c>
      <c r="CW10" s="2445"/>
      <c r="CX10" s="1928">
        <v>1</v>
      </c>
      <c r="CY10" s="1933" t="s">
        <v>767</v>
      </c>
      <c r="CZ10" s="1929" t="s">
        <v>757</v>
      </c>
      <c r="DA10" s="2940">
        <f t="shared" ref="DA10:DA67" si="11">BR10</f>
        <v>0.15</v>
      </c>
      <c r="DB10" s="2940"/>
      <c r="DC10" s="2940"/>
      <c r="DD10" s="2940"/>
      <c r="DE10" s="2940"/>
      <c r="DF10" s="2940"/>
      <c r="DG10" s="2940"/>
      <c r="DH10" s="2941"/>
      <c r="DI10" s="2940"/>
      <c r="DJ10" s="2940"/>
      <c r="DK10" s="2942"/>
      <c r="DL10" s="2940"/>
      <c r="DM10" s="2940"/>
    </row>
    <row r="11" spans="1:117">
      <c r="B11" s="1914">
        <f t="shared" si="0"/>
        <v>1.1000000000000001</v>
      </c>
      <c r="C11" s="1937" t="str">
        <f t="shared" si="1"/>
        <v>室内騒音レベル</v>
      </c>
      <c r="D11" s="1938">
        <f>IF(I$10=0,0,G11/I$10)</f>
        <v>0.40157480314960631</v>
      </c>
      <c r="E11" s="1938">
        <f>IF(J$10=0,0,H11/J$10)</f>
        <v>0.5</v>
      </c>
      <c r="G11" s="1939">
        <f t="shared" si="2"/>
        <v>0.40157480314960631</v>
      </c>
      <c r="H11" s="1939">
        <f t="shared" si="3"/>
        <v>7.874015748031496E-3</v>
      </c>
      <c r="I11" s="1927">
        <f>SUM(G12:G13)</f>
        <v>0</v>
      </c>
      <c r="J11" s="1927">
        <f>SUM(H12:H13)</f>
        <v>0</v>
      </c>
      <c r="K11" s="1939">
        <f>IF(スコア!Q11=0,0,1)</f>
        <v>1</v>
      </c>
      <c r="L11" s="1939">
        <f>IF(スコア!T11=0,0,1)</f>
        <v>1</v>
      </c>
      <c r="M11" s="1939">
        <f t="shared" si="4"/>
        <v>0.40157480314960631</v>
      </c>
      <c r="N11" s="1939">
        <f t="shared" si="5"/>
        <v>7.874015748031496E-3</v>
      </c>
      <c r="P11" s="1940">
        <f t="shared" si="6"/>
        <v>1.1000000000000001</v>
      </c>
      <c r="Q11" s="1940" t="str">
        <f t="shared" si="6"/>
        <v xml:space="preserve"> Q1 1</v>
      </c>
      <c r="R11" s="1941" t="str">
        <f t="shared" si="6"/>
        <v>室内騒音レベル</v>
      </c>
      <c r="S11" s="1942">
        <f t="shared" si="6"/>
        <v>0.4</v>
      </c>
      <c r="T11" s="1942">
        <f t="shared" si="7"/>
        <v>0.4</v>
      </c>
      <c r="U11" s="1942">
        <f t="shared" si="7"/>
        <v>0.4</v>
      </c>
      <c r="V11" s="1942">
        <f t="shared" si="7"/>
        <v>0.4</v>
      </c>
      <c r="W11" s="1942">
        <f t="shared" si="7"/>
        <v>0.4</v>
      </c>
      <c r="X11" s="1942">
        <f t="shared" si="7"/>
        <v>0.4</v>
      </c>
      <c r="Y11" s="1942">
        <f t="shared" si="7"/>
        <v>0.5</v>
      </c>
      <c r="Z11" s="1942">
        <f t="shared" si="7"/>
        <v>0.4</v>
      </c>
      <c r="AA11" s="1942">
        <f t="shared" si="7"/>
        <v>0.4</v>
      </c>
      <c r="AB11" s="1942">
        <f t="shared" si="8"/>
        <v>0.4</v>
      </c>
      <c r="AC11" s="1943">
        <f t="shared" si="8"/>
        <v>0.4</v>
      </c>
      <c r="AD11" s="1942">
        <f t="shared" si="8"/>
        <v>0.4</v>
      </c>
      <c r="AE11" s="1942">
        <f t="shared" si="8"/>
        <v>0.5</v>
      </c>
      <c r="AG11" s="1940">
        <v>1.1000000000000001</v>
      </c>
      <c r="AH11" s="1944" t="s">
        <v>768</v>
      </c>
      <c r="AI11" s="1945" t="s">
        <v>204</v>
      </c>
      <c r="AJ11" s="1946">
        <v>0.4</v>
      </c>
      <c r="AK11" s="1942">
        <v>0.4</v>
      </c>
      <c r="AL11" s="1942">
        <v>0.8</v>
      </c>
      <c r="AM11" s="1942">
        <v>0.4</v>
      </c>
      <c r="AN11" s="1946">
        <v>0.4</v>
      </c>
      <c r="AO11" s="1942">
        <v>0.8</v>
      </c>
      <c r="AP11" s="1942">
        <v>0.8</v>
      </c>
      <c r="AQ11" s="1946">
        <v>0.8</v>
      </c>
      <c r="AR11" s="1946">
        <v>0.5</v>
      </c>
      <c r="AS11" s="1947">
        <v>0.4</v>
      </c>
      <c r="AT11" s="1948">
        <v>0.5</v>
      </c>
      <c r="AU11" s="1947">
        <v>0.4</v>
      </c>
      <c r="AV11" s="1947">
        <v>0.4</v>
      </c>
      <c r="AX11" s="1940">
        <v>1.1000000000000001</v>
      </c>
      <c r="AY11" s="1944" t="s">
        <v>768</v>
      </c>
      <c r="AZ11" s="1945" t="s">
        <v>204</v>
      </c>
      <c r="BA11" s="1947"/>
      <c r="BB11" s="1947"/>
      <c r="BC11" s="1947"/>
      <c r="BD11" s="1947"/>
      <c r="BE11" s="1947"/>
      <c r="BF11" s="1947"/>
      <c r="BG11" s="1947"/>
      <c r="BH11" s="1949">
        <v>0.4</v>
      </c>
      <c r="BI11" s="1947"/>
      <c r="BJ11" s="1947"/>
      <c r="BK11" s="1948"/>
      <c r="BL11" s="1947"/>
      <c r="BM11" s="1947"/>
      <c r="BO11" s="1940">
        <v>1.1000000000000001</v>
      </c>
      <c r="BP11" s="1944" t="s">
        <v>768</v>
      </c>
      <c r="BQ11" s="1945" t="s">
        <v>3726</v>
      </c>
      <c r="BR11" s="1947">
        <v>0.4</v>
      </c>
      <c r="BS11" s="1947">
        <v>0.4</v>
      </c>
      <c r="BT11" s="1947">
        <v>0.4</v>
      </c>
      <c r="BU11" s="1947">
        <v>0.4</v>
      </c>
      <c r="BV11" s="1947">
        <v>0.4</v>
      </c>
      <c r="BW11" s="1947">
        <v>0.4</v>
      </c>
      <c r="BX11" s="1947">
        <v>0.5</v>
      </c>
      <c r="BY11" s="1947">
        <v>0.4</v>
      </c>
      <c r="BZ11" s="1947">
        <v>0.4</v>
      </c>
      <c r="CA11" s="1947">
        <v>0.4</v>
      </c>
      <c r="CB11" s="1947">
        <v>0.4</v>
      </c>
      <c r="CC11" s="1947">
        <v>0.4</v>
      </c>
      <c r="CD11" s="1947">
        <v>0.5</v>
      </c>
      <c r="CE11" s="2302"/>
      <c r="CG11" s="1940">
        <v>1.1000000000000001</v>
      </c>
      <c r="CH11" s="1944" t="s">
        <v>768</v>
      </c>
      <c r="CI11" s="1945" t="s">
        <v>771</v>
      </c>
      <c r="CJ11" s="2943">
        <v>0</v>
      </c>
      <c r="CK11" s="2943">
        <v>0</v>
      </c>
      <c r="CL11" s="2943">
        <v>0</v>
      </c>
      <c r="CM11" s="2943">
        <v>0</v>
      </c>
      <c r="CN11" s="2943">
        <v>0</v>
      </c>
      <c r="CO11" s="2943">
        <v>0</v>
      </c>
      <c r="CP11" s="2943">
        <v>0</v>
      </c>
      <c r="CQ11" s="2943">
        <v>0</v>
      </c>
      <c r="CR11" s="2943">
        <v>0</v>
      </c>
      <c r="CS11" s="2943">
        <v>0</v>
      </c>
      <c r="CT11" s="2943">
        <v>0</v>
      </c>
      <c r="CU11" s="2943">
        <v>0</v>
      </c>
      <c r="CV11" s="2943">
        <v>0</v>
      </c>
      <c r="CW11" s="2445"/>
      <c r="CX11" s="1940">
        <v>1.1000000000000001</v>
      </c>
      <c r="CY11" s="1944" t="s">
        <v>768</v>
      </c>
      <c r="CZ11" s="1945" t="s">
        <v>771</v>
      </c>
      <c r="DA11" s="2944">
        <v>1</v>
      </c>
      <c r="DB11" s="2945"/>
      <c r="DC11" s="2945"/>
      <c r="DD11" s="2945"/>
      <c r="DE11" s="2945"/>
      <c r="DF11" s="2945"/>
      <c r="DG11" s="2945"/>
      <c r="DH11" s="2945"/>
      <c r="DI11" s="2945"/>
      <c r="DJ11" s="2945"/>
      <c r="DK11" s="2945"/>
      <c r="DL11" s="2945"/>
      <c r="DM11" s="2945"/>
    </row>
    <row r="12" spans="1:117" hidden="1">
      <c r="B12" s="1914" t="str">
        <f t="shared" si="0"/>
        <v>1.1.1</v>
      </c>
      <c r="C12" s="1937">
        <f t="shared" si="1"/>
        <v>0</v>
      </c>
      <c r="D12" s="1938">
        <f>IF(I$11=0,0,G12/I$11)</f>
        <v>0</v>
      </c>
      <c r="E12" s="1938">
        <f>IF(J$11=0,0,H12/J$11)</f>
        <v>0</v>
      </c>
      <c r="G12" s="1939">
        <f t="shared" si="2"/>
        <v>0</v>
      </c>
      <c r="H12" s="1939">
        <f t="shared" si="3"/>
        <v>0</v>
      </c>
      <c r="I12" s="1927"/>
      <c r="J12" s="1927"/>
      <c r="K12" s="1939">
        <f>IF(スコア!Q12=0,0,1)</f>
        <v>0</v>
      </c>
      <c r="L12" s="1939">
        <f>IF(スコア!T12=0,0,1)</f>
        <v>0</v>
      </c>
      <c r="M12" s="1939">
        <f t="shared" si="4"/>
        <v>0</v>
      </c>
      <c r="N12" s="1939">
        <f t="shared" si="5"/>
        <v>0</v>
      </c>
      <c r="P12" s="1940" t="str">
        <f t="shared" si="6"/>
        <v>1.1.1</v>
      </c>
      <c r="Q12" s="1940" t="str">
        <f t="shared" si="6"/>
        <v xml:space="preserve"> Q1 1.1</v>
      </c>
      <c r="R12" s="1941">
        <f t="shared" si="6"/>
        <v>0</v>
      </c>
      <c r="S12" s="1942">
        <f t="shared" si="6"/>
        <v>0</v>
      </c>
      <c r="T12" s="1942">
        <f t="shared" si="7"/>
        <v>0</v>
      </c>
      <c r="U12" s="1942">
        <f t="shared" si="7"/>
        <v>0</v>
      </c>
      <c r="V12" s="1942">
        <f t="shared" si="7"/>
        <v>0</v>
      </c>
      <c r="W12" s="1942">
        <f t="shared" si="7"/>
        <v>0</v>
      </c>
      <c r="X12" s="1942">
        <f t="shared" si="7"/>
        <v>0</v>
      </c>
      <c r="Y12" s="1942">
        <f t="shared" si="7"/>
        <v>0</v>
      </c>
      <c r="Z12" s="1942">
        <f t="shared" si="7"/>
        <v>0</v>
      </c>
      <c r="AA12" s="1942">
        <f t="shared" si="7"/>
        <v>0</v>
      </c>
      <c r="AB12" s="1942">
        <f t="shared" si="8"/>
        <v>0</v>
      </c>
      <c r="AC12" s="1943">
        <f t="shared" si="8"/>
        <v>0</v>
      </c>
      <c r="AD12" s="1942">
        <f t="shared" si="8"/>
        <v>0</v>
      </c>
      <c r="AE12" s="1942">
        <f t="shared" si="8"/>
        <v>0</v>
      </c>
      <c r="AG12" s="1940" t="s">
        <v>769</v>
      </c>
      <c r="AH12" s="1944" t="s">
        <v>770</v>
      </c>
      <c r="AI12" s="1945" t="s">
        <v>771</v>
      </c>
      <c r="AJ12" s="1942">
        <v>0.4</v>
      </c>
      <c r="AK12" s="1942">
        <v>1</v>
      </c>
      <c r="AL12" s="1942">
        <v>1</v>
      </c>
      <c r="AM12" s="1942">
        <v>1</v>
      </c>
      <c r="AN12" s="1942">
        <v>0.4</v>
      </c>
      <c r="AO12" s="1942">
        <v>1</v>
      </c>
      <c r="AP12" s="1942">
        <v>1</v>
      </c>
      <c r="AQ12" s="1942">
        <v>1</v>
      </c>
      <c r="AR12" s="1942">
        <v>0.4</v>
      </c>
      <c r="AS12" s="1947">
        <v>1</v>
      </c>
      <c r="AT12" s="1948">
        <v>0.4</v>
      </c>
      <c r="AU12" s="1947">
        <v>1</v>
      </c>
      <c r="AV12" s="1947">
        <v>1</v>
      </c>
      <c r="AX12" s="1940" t="s">
        <v>769</v>
      </c>
      <c r="AY12" s="1944" t="s">
        <v>770</v>
      </c>
      <c r="AZ12" s="1945" t="s">
        <v>771</v>
      </c>
      <c r="BA12" s="1947"/>
      <c r="BB12" s="1947"/>
      <c r="BC12" s="1947"/>
      <c r="BD12" s="1947"/>
      <c r="BE12" s="1947"/>
      <c r="BF12" s="1947"/>
      <c r="BG12" s="1947"/>
      <c r="BH12" s="1949">
        <v>1</v>
      </c>
      <c r="BI12" s="1947"/>
      <c r="BJ12" s="1947"/>
      <c r="BK12" s="1948"/>
      <c r="BL12" s="1947"/>
      <c r="BM12" s="1947"/>
      <c r="BO12" s="1940" t="s">
        <v>769</v>
      </c>
      <c r="BP12" s="1944" t="s">
        <v>770</v>
      </c>
      <c r="BQ12" s="1945"/>
      <c r="BR12" s="1947"/>
      <c r="BS12" s="1947"/>
      <c r="BT12" s="1947"/>
      <c r="BU12" s="1947"/>
      <c r="BV12" s="1947"/>
      <c r="BW12" s="1947"/>
      <c r="BX12" s="1947"/>
      <c r="BY12" s="1947"/>
      <c r="BZ12" s="1947"/>
      <c r="CA12" s="1947"/>
      <c r="CB12" s="1948"/>
      <c r="CC12" s="1947"/>
      <c r="CD12" s="1947"/>
      <c r="CE12" s="2302"/>
      <c r="CG12" s="1940" t="s">
        <v>769</v>
      </c>
      <c r="CH12" s="1944" t="s">
        <v>770</v>
      </c>
      <c r="CI12" s="1945"/>
      <c r="CJ12" s="2943"/>
      <c r="CK12" s="2943"/>
      <c r="CL12" s="2943"/>
      <c r="CM12" s="2943"/>
      <c r="CN12" s="2943"/>
      <c r="CO12" s="2943"/>
      <c r="CP12" s="2943"/>
      <c r="CQ12" s="2946"/>
      <c r="CR12" s="2943"/>
      <c r="CS12" s="2943"/>
      <c r="CT12" s="2947"/>
      <c r="CU12" s="2943"/>
      <c r="CV12" s="2943"/>
      <c r="CW12" s="2445"/>
      <c r="CX12" s="1940" t="s">
        <v>769</v>
      </c>
      <c r="CY12" s="1944" t="s">
        <v>770</v>
      </c>
      <c r="CZ12" s="1945"/>
      <c r="DA12" s="2944">
        <f t="shared" si="11"/>
        <v>0</v>
      </c>
      <c r="DB12" s="2945"/>
      <c r="DC12" s="2945"/>
      <c r="DD12" s="2945"/>
      <c r="DE12" s="2945"/>
      <c r="DF12" s="2945"/>
      <c r="DG12" s="2945"/>
      <c r="DH12" s="2948"/>
      <c r="DI12" s="2945"/>
      <c r="DJ12" s="2945"/>
      <c r="DK12" s="2949"/>
      <c r="DL12" s="2945"/>
      <c r="DM12" s="2945"/>
    </row>
    <row r="13" spans="1:117" hidden="1">
      <c r="B13" s="1914" t="str">
        <f t="shared" si="0"/>
        <v>1.1.2</v>
      </c>
      <c r="C13" s="1937">
        <f t="shared" si="1"/>
        <v>0</v>
      </c>
      <c r="D13" s="1938">
        <f>IF(I$11=0,0,G13/I$11)</f>
        <v>0</v>
      </c>
      <c r="E13" s="1938">
        <f>IF(J$11=0,0,H13/J$11)</f>
        <v>0</v>
      </c>
      <c r="G13" s="1939">
        <f t="shared" si="2"/>
        <v>0</v>
      </c>
      <c r="H13" s="1939">
        <f t="shared" si="3"/>
        <v>0</v>
      </c>
      <c r="I13" s="1927"/>
      <c r="J13" s="1927"/>
      <c r="K13" s="1939">
        <f>IF(スコア!Q13=0,0,1)</f>
        <v>0</v>
      </c>
      <c r="L13" s="1939">
        <f>IF(スコア!T13=0,0,1)</f>
        <v>0</v>
      </c>
      <c r="M13" s="1939">
        <f t="shared" si="4"/>
        <v>0</v>
      </c>
      <c r="N13" s="1939">
        <f t="shared" si="5"/>
        <v>0</v>
      </c>
      <c r="P13" s="1940" t="str">
        <f t="shared" si="6"/>
        <v>1.1.2</v>
      </c>
      <c r="Q13" s="1940" t="str">
        <f t="shared" si="6"/>
        <v xml:space="preserve"> Q1 1.1</v>
      </c>
      <c r="R13" s="1941">
        <f t="shared" si="6"/>
        <v>0</v>
      </c>
      <c r="S13" s="1942">
        <f t="shared" si="6"/>
        <v>0</v>
      </c>
      <c r="T13" s="1942">
        <f t="shared" si="7"/>
        <v>0</v>
      </c>
      <c r="U13" s="1942">
        <f t="shared" si="7"/>
        <v>0</v>
      </c>
      <c r="V13" s="1942">
        <f t="shared" si="7"/>
        <v>0</v>
      </c>
      <c r="W13" s="1942">
        <f t="shared" si="7"/>
        <v>0</v>
      </c>
      <c r="X13" s="1942">
        <f t="shared" si="7"/>
        <v>0</v>
      </c>
      <c r="Y13" s="1942">
        <f t="shared" si="7"/>
        <v>0</v>
      </c>
      <c r="Z13" s="1942">
        <f t="shared" si="7"/>
        <v>0</v>
      </c>
      <c r="AA13" s="1942">
        <f t="shared" si="7"/>
        <v>0</v>
      </c>
      <c r="AB13" s="1942">
        <f t="shared" si="8"/>
        <v>0</v>
      </c>
      <c r="AC13" s="1943">
        <f t="shared" si="8"/>
        <v>0</v>
      </c>
      <c r="AD13" s="1942">
        <f t="shared" si="8"/>
        <v>0</v>
      </c>
      <c r="AE13" s="1942">
        <f t="shared" si="8"/>
        <v>0</v>
      </c>
      <c r="AG13" s="1940" t="s">
        <v>772</v>
      </c>
      <c r="AH13" s="1944" t="s">
        <v>770</v>
      </c>
      <c r="AI13" s="1945" t="s">
        <v>773</v>
      </c>
      <c r="AJ13" s="1942">
        <v>0.6</v>
      </c>
      <c r="AK13" s="1942"/>
      <c r="AL13" s="1942"/>
      <c r="AM13" s="1942"/>
      <c r="AN13" s="1942">
        <v>0.6</v>
      </c>
      <c r="AO13" s="1942"/>
      <c r="AP13" s="1942"/>
      <c r="AQ13" s="1942"/>
      <c r="AR13" s="1942">
        <v>0.6</v>
      </c>
      <c r="AS13" s="1947"/>
      <c r="AT13" s="1948">
        <v>0.6</v>
      </c>
      <c r="AU13" s="1947"/>
      <c r="AV13" s="1947"/>
      <c r="AX13" s="1940" t="s">
        <v>772</v>
      </c>
      <c r="AY13" s="1944" t="s">
        <v>770</v>
      </c>
      <c r="AZ13" s="1945" t="s">
        <v>773</v>
      </c>
      <c r="BA13" s="1947"/>
      <c r="BB13" s="1947"/>
      <c r="BC13" s="1947"/>
      <c r="BD13" s="1947"/>
      <c r="BE13" s="1947"/>
      <c r="BF13" s="1947"/>
      <c r="BG13" s="1947"/>
      <c r="BH13" s="1949"/>
      <c r="BI13" s="1947"/>
      <c r="BJ13" s="1947"/>
      <c r="BK13" s="1948"/>
      <c r="BL13" s="1947"/>
      <c r="BM13" s="1947"/>
      <c r="BO13" s="1940" t="s">
        <v>772</v>
      </c>
      <c r="BP13" s="1944" t="s">
        <v>770</v>
      </c>
      <c r="BQ13" s="1945"/>
      <c r="BR13" s="1947"/>
      <c r="BS13" s="1947"/>
      <c r="BT13" s="1947"/>
      <c r="BU13" s="1947"/>
      <c r="BV13" s="1947"/>
      <c r="BW13" s="1947"/>
      <c r="BX13" s="1947"/>
      <c r="BY13" s="1947"/>
      <c r="BZ13" s="1947"/>
      <c r="CA13" s="1947"/>
      <c r="CB13" s="1948"/>
      <c r="CC13" s="1947"/>
      <c r="CD13" s="1947"/>
      <c r="CE13" s="2302"/>
      <c r="CG13" s="1940" t="s">
        <v>772</v>
      </c>
      <c r="CH13" s="1944" t="s">
        <v>770</v>
      </c>
      <c r="CI13" s="1945"/>
      <c r="CJ13" s="2943"/>
      <c r="CK13" s="2943"/>
      <c r="CL13" s="2943"/>
      <c r="CM13" s="2943"/>
      <c r="CN13" s="2943"/>
      <c r="CO13" s="2943"/>
      <c r="CP13" s="2943"/>
      <c r="CQ13" s="2946"/>
      <c r="CR13" s="2943"/>
      <c r="CS13" s="2943"/>
      <c r="CT13" s="2947"/>
      <c r="CU13" s="2943"/>
      <c r="CV13" s="2943"/>
      <c r="CW13" s="2445"/>
      <c r="CX13" s="1940" t="s">
        <v>772</v>
      </c>
      <c r="CY13" s="1944" t="s">
        <v>770</v>
      </c>
      <c r="CZ13" s="1945"/>
      <c r="DA13" s="2944">
        <f t="shared" si="11"/>
        <v>0</v>
      </c>
      <c r="DB13" s="2945"/>
      <c r="DC13" s="2945"/>
      <c r="DD13" s="2945"/>
      <c r="DE13" s="2945"/>
      <c r="DF13" s="2945"/>
      <c r="DG13" s="2945"/>
      <c r="DH13" s="2948"/>
      <c r="DI13" s="2945"/>
      <c r="DJ13" s="2945"/>
      <c r="DK13" s="2949"/>
      <c r="DL13" s="2945"/>
      <c r="DM13" s="2945"/>
    </row>
    <row r="14" spans="1:117">
      <c r="B14" s="1914">
        <f t="shared" si="0"/>
        <v>1.2</v>
      </c>
      <c r="C14" s="1363" t="str">
        <f t="shared" si="1"/>
        <v>遮音</v>
      </c>
      <c r="D14" s="1938">
        <f>IF(I$10=0,0,G14/I$10)</f>
        <v>0.40157480314960631</v>
      </c>
      <c r="E14" s="1938">
        <f>IF(J$10=0,0,H14/J$10)</f>
        <v>0.5</v>
      </c>
      <c r="G14" s="1939">
        <f t="shared" si="2"/>
        <v>0.40157480314960631</v>
      </c>
      <c r="H14" s="1939">
        <f t="shared" si="3"/>
        <v>7.874015748031496E-3</v>
      </c>
      <c r="I14" s="1927">
        <f>SUM(G15:G18)</f>
        <v>1</v>
      </c>
      <c r="J14" s="1927">
        <f>SUM(H15:H18)</f>
        <v>1.5748031496062992E-2</v>
      </c>
      <c r="K14" s="1939">
        <f>IF(スコア!Q14=0,0,1)</f>
        <v>1</v>
      </c>
      <c r="L14" s="1939">
        <f>IF(スコア!T14=0,0,1)</f>
        <v>1</v>
      </c>
      <c r="M14" s="1939">
        <f t="shared" si="4"/>
        <v>0.40157480314960631</v>
      </c>
      <c r="N14" s="1939">
        <f t="shared" si="5"/>
        <v>7.874015748031496E-3</v>
      </c>
      <c r="P14" s="1940">
        <f t="shared" si="6"/>
        <v>1.2</v>
      </c>
      <c r="Q14" s="1940" t="str">
        <f t="shared" si="6"/>
        <v xml:space="preserve"> Q1 1</v>
      </c>
      <c r="R14" s="1941" t="str">
        <f t="shared" si="6"/>
        <v>遮音</v>
      </c>
      <c r="S14" s="1942">
        <f t="shared" si="6"/>
        <v>0.4</v>
      </c>
      <c r="T14" s="1942">
        <f t="shared" si="7"/>
        <v>0.4</v>
      </c>
      <c r="U14" s="1942">
        <f t="shared" si="7"/>
        <v>0.4</v>
      </c>
      <c r="V14" s="1942">
        <f t="shared" si="7"/>
        <v>0.4</v>
      </c>
      <c r="W14" s="1942">
        <f t="shared" si="7"/>
        <v>0.4</v>
      </c>
      <c r="X14" s="1942">
        <f t="shared" si="7"/>
        <v>0.4</v>
      </c>
      <c r="Y14" s="1942">
        <f t="shared" si="7"/>
        <v>0.5</v>
      </c>
      <c r="Z14" s="1942">
        <f t="shared" si="7"/>
        <v>0.4</v>
      </c>
      <c r="AA14" s="1942">
        <f t="shared" si="7"/>
        <v>0.4</v>
      </c>
      <c r="AB14" s="1942">
        <f t="shared" si="8"/>
        <v>0.4</v>
      </c>
      <c r="AC14" s="1943">
        <f t="shared" si="8"/>
        <v>0.4</v>
      </c>
      <c r="AD14" s="1942">
        <f t="shared" si="8"/>
        <v>0.4</v>
      </c>
      <c r="AE14" s="1942">
        <f t="shared" si="8"/>
        <v>0.5</v>
      </c>
      <c r="AG14" s="1940">
        <v>1.2</v>
      </c>
      <c r="AH14" s="1944" t="s">
        <v>768</v>
      </c>
      <c r="AI14" s="1367" t="s">
        <v>2339</v>
      </c>
      <c r="AJ14" s="1946">
        <v>0.4</v>
      </c>
      <c r="AK14" s="1942">
        <v>0.4</v>
      </c>
      <c r="AL14" s="1942"/>
      <c r="AM14" s="1942">
        <v>0.4</v>
      </c>
      <c r="AN14" s="1946">
        <v>0.4</v>
      </c>
      <c r="AO14" s="1942"/>
      <c r="AP14" s="1942"/>
      <c r="AQ14" s="1942"/>
      <c r="AR14" s="1946">
        <v>0.5</v>
      </c>
      <c r="AS14" s="1947">
        <v>0.4</v>
      </c>
      <c r="AT14" s="1948">
        <v>0.5</v>
      </c>
      <c r="AU14" s="1947">
        <v>0.4</v>
      </c>
      <c r="AV14" s="1950">
        <v>0.4</v>
      </c>
      <c r="AX14" s="1940">
        <v>1.2</v>
      </c>
      <c r="AY14" s="1944" t="s">
        <v>768</v>
      </c>
      <c r="AZ14" s="1367" t="s">
        <v>2339</v>
      </c>
      <c r="BA14" s="1947">
        <v>0.7</v>
      </c>
      <c r="BB14" s="1947">
        <v>0.7</v>
      </c>
      <c r="BC14" s="1947">
        <v>0.7</v>
      </c>
      <c r="BD14" s="1947">
        <v>0.7</v>
      </c>
      <c r="BE14" s="1947">
        <v>0.7</v>
      </c>
      <c r="BF14" s="1947">
        <v>0.7</v>
      </c>
      <c r="BG14" s="1947">
        <v>1</v>
      </c>
      <c r="BH14" s="1949">
        <v>0.4</v>
      </c>
      <c r="BI14" s="1947">
        <v>0.7</v>
      </c>
      <c r="BJ14" s="1947">
        <v>0.7</v>
      </c>
      <c r="BK14" s="1948">
        <v>0.7</v>
      </c>
      <c r="BL14" s="1947">
        <v>0.7</v>
      </c>
      <c r="BM14" s="1947">
        <v>1</v>
      </c>
      <c r="BO14" s="1940">
        <v>1.2</v>
      </c>
      <c r="BP14" s="1944" t="s">
        <v>768</v>
      </c>
      <c r="BQ14" s="1367" t="s">
        <v>1765</v>
      </c>
      <c r="BR14" s="1947">
        <v>0.4</v>
      </c>
      <c r="BS14" s="1947">
        <v>0.4</v>
      </c>
      <c r="BT14" s="1947">
        <v>0.4</v>
      </c>
      <c r="BU14" s="1947">
        <v>0.4</v>
      </c>
      <c r="BV14" s="1947">
        <v>0.4</v>
      </c>
      <c r="BW14" s="1947">
        <v>0.4</v>
      </c>
      <c r="BX14" s="1947">
        <v>0.5</v>
      </c>
      <c r="BY14" s="1947">
        <v>0.4</v>
      </c>
      <c r="BZ14" s="1947">
        <v>0.4</v>
      </c>
      <c r="CA14" s="1947">
        <v>0.4</v>
      </c>
      <c r="CB14" s="1947">
        <v>0.4</v>
      </c>
      <c r="CC14" s="1947">
        <v>0.4</v>
      </c>
      <c r="CD14" s="1947">
        <v>0.5</v>
      </c>
      <c r="CE14" s="2302"/>
      <c r="CG14" s="1940">
        <v>1.2</v>
      </c>
      <c r="CH14" s="1944" t="s">
        <v>768</v>
      </c>
      <c r="CI14" s="1367" t="s">
        <v>2339</v>
      </c>
      <c r="CJ14" s="2945">
        <v>0.67</v>
      </c>
      <c r="CK14" s="2945">
        <v>0.67</v>
      </c>
      <c r="CL14" s="2945">
        <v>0.67</v>
      </c>
      <c r="CM14" s="2945">
        <v>0.67</v>
      </c>
      <c r="CN14" s="2945">
        <v>0.67</v>
      </c>
      <c r="CO14" s="2945">
        <v>0.67</v>
      </c>
      <c r="CP14" s="2945">
        <v>1</v>
      </c>
      <c r="CQ14" s="2945">
        <v>0.67</v>
      </c>
      <c r="CR14" s="2945">
        <v>0.67</v>
      </c>
      <c r="CS14" s="2945">
        <v>0.67</v>
      </c>
      <c r="CT14" s="2945">
        <v>0.67</v>
      </c>
      <c r="CU14" s="2945">
        <v>0.67</v>
      </c>
      <c r="CV14" s="2945">
        <v>1</v>
      </c>
      <c r="CW14" s="2445"/>
      <c r="CX14" s="1940">
        <v>1.2</v>
      </c>
      <c r="CY14" s="1944" t="s">
        <v>768</v>
      </c>
      <c r="CZ14" s="1367" t="s">
        <v>2339</v>
      </c>
      <c r="DA14" s="2944">
        <v>0</v>
      </c>
      <c r="DB14" s="2945"/>
      <c r="DC14" s="2945"/>
      <c r="DD14" s="2945"/>
      <c r="DE14" s="2945"/>
      <c r="DF14" s="2945"/>
      <c r="DG14" s="2945"/>
      <c r="DH14" s="2945"/>
      <c r="DI14" s="2945"/>
      <c r="DJ14" s="2945"/>
      <c r="DK14" s="2945"/>
      <c r="DL14" s="2945"/>
      <c r="DM14" s="2945"/>
    </row>
    <row r="15" spans="1:117">
      <c r="B15" s="1914" t="str">
        <f t="shared" si="0"/>
        <v>1.2.1</v>
      </c>
      <c r="C15" s="1363" t="str">
        <f t="shared" si="1"/>
        <v>開口部遮音性能</v>
      </c>
      <c r="D15" s="1938">
        <f t="shared" ref="D15:E18" si="12">IF(I$14=0,0,G15/I$14)</f>
        <v>0.60629921259842512</v>
      </c>
      <c r="E15" s="1938">
        <f>IF(J$14=0,0,H15/J$14)</f>
        <v>0.3</v>
      </c>
      <c r="G15" s="1939">
        <f t="shared" si="2"/>
        <v>0.60629921259842512</v>
      </c>
      <c r="H15" s="1939">
        <f t="shared" si="3"/>
        <v>4.7244094488188976E-3</v>
      </c>
      <c r="I15" s="1927"/>
      <c r="J15" s="1927"/>
      <c r="K15" s="1939">
        <f>IF(スコア!Q15=0,0,1)</f>
        <v>1</v>
      </c>
      <c r="L15" s="1939">
        <f>IF(スコア!T15=0,0,1)</f>
        <v>1</v>
      </c>
      <c r="M15" s="1939">
        <f t="shared" si="4"/>
        <v>0.60629921259842512</v>
      </c>
      <c r="N15" s="1939">
        <f t="shared" si="5"/>
        <v>4.7244094488188976E-3</v>
      </c>
      <c r="P15" s="1940" t="str">
        <f t="shared" si="6"/>
        <v>1.2.1</v>
      </c>
      <c r="Q15" s="1940" t="str">
        <f t="shared" si="6"/>
        <v xml:space="preserve"> Q1 1.2</v>
      </c>
      <c r="R15" s="1941" t="str">
        <f t="shared" si="6"/>
        <v>開口部遮音性能</v>
      </c>
      <c r="S15" s="1942">
        <f t="shared" si="6"/>
        <v>0.6</v>
      </c>
      <c r="T15" s="1942">
        <f t="shared" si="7"/>
        <v>0.3</v>
      </c>
      <c r="U15" s="1942">
        <f t="shared" si="7"/>
        <v>1</v>
      </c>
      <c r="V15" s="1942">
        <f t="shared" si="7"/>
        <v>0.6</v>
      </c>
      <c r="W15" s="1942">
        <f t="shared" si="7"/>
        <v>0.4</v>
      </c>
      <c r="X15" s="1942">
        <f t="shared" si="7"/>
        <v>1</v>
      </c>
      <c r="Y15" s="1942">
        <f t="shared" si="7"/>
        <v>1</v>
      </c>
      <c r="Z15" s="1951">
        <f t="shared" si="7"/>
        <v>1</v>
      </c>
      <c r="AA15" s="1942">
        <f t="shared" si="7"/>
        <v>0.6</v>
      </c>
      <c r="AB15" s="1942">
        <f t="shared" si="8"/>
        <v>0.3</v>
      </c>
      <c r="AC15" s="1943">
        <f t="shared" si="8"/>
        <v>0.3</v>
      </c>
      <c r="AD15" s="1942">
        <f t="shared" si="8"/>
        <v>0.3</v>
      </c>
      <c r="AE15" s="1942">
        <f t="shared" si="8"/>
        <v>0.3</v>
      </c>
      <c r="AG15" s="1940" t="s">
        <v>205</v>
      </c>
      <c r="AH15" s="1944" t="s">
        <v>774</v>
      </c>
      <c r="AI15" s="1367" t="s">
        <v>206</v>
      </c>
      <c r="AJ15" s="1952"/>
      <c r="AK15" s="1952"/>
      <c r="AL15" s="1952"/>
      <c r="AM15" s="1952"/>
      <c r="AN15" s="1952"/>
      <c r="AO15" s="1952"/>
      <c r="AP15" s="1952"/>
      <c r="AQ15" s="1952"/>
      <c r="AR15" s="1952"/>
      <c r="AS15" s="1947"/>
      <c r="AT15" s="1948"/>
      <c r="AU15" s="1947"/>
      <c r="AV15" s="1947"/>
      <c r="AX15" s="1940" t="s">
        <v>205</v>
      </c>
      <c r="AY15" s="1944" t="s">
        <v>774</v>
      </c>
      <c r="AZ15" s="1367" t="s">
        <v>206</v>
      </c>
      <c r="BA15" s="1947">
        <v>0.6</v>
      </c>
      <c r="BB15" s="1947">
        <v>0.4</v>
      </c>
      <c r="BC15" s="1947">
        <v>1</v>
      </c>
      <c r="BD15" s="1947">
        <v>0.6</v>
      </c>
      <c r="BE15" s="1947">
        <v>0.4</v>
      </c>
      <c r="BF15" s="1947">
        <v>1</v>
      </c>
      <c r="BG15" s="1947">
        <v>1</v>
      </c>
      <c r="BH15" s="1949">
        <v>1</v>
      </c>
      <c r="BI15" s="1947">
        <v>0.6</v>
      </c>
      <c r="BJ15" s="1947">
        <v>0.4</v>
      </c>
      <c r="BK15" s="1948">
        <v>0.3</v>
      </c>
      <c r="BL15" s="1947">
        <v>0.3</v>
      </c>
      <c r="BM15" s="1947">
        <v>0.3</v>
      </c>
      <c r="BO15" s="1940" t="s">
        <v>3671</v>
      </c>
      <c r="BP15" s="1944" t="s">
        <v>774</v>
      </c>
      <c r="BQ15" s="1367" t="s">
        <v>3646</v>
      </c>
      <c r="BR15" s="1947">
        <v>0.6</v>
      </c>
      <c r="BS15" s="1947">
        <v>0.3</v>
      </c>
      <c r="BT15" s="1947">
        <v>1</v>
      </c>
      <c r="BU15" s="1947">
        <v>0.6</v>
      </c>
      <c r="BV15" s="1947">
        <v>0.4</v>
      </c>
      <c r="BW15" s="1947">
        <v>1</v>
      </c>
      <c r="BX15" s="1947">
        <v>1</v>
      </c>
      <c r="BY15" s="1947">
        <v>1</v>
      </c>
      <c r="BZ15" s="1947">
        <v>0.6</v>
      </c>
      <c r="CA15" s="1947">
        <v>0.3</v>
      </c>
      <c r="CB15" s="1947">
        <v>0.3</v>
      </c>
      <c r="CC15" s="1947">
        <v>0.3</v>
      </c>
      <c r="CD15" s="1947">
        <v>0.3</v>
      </c>
      <c r="CE15" s="2302"/>
      <c r="CG15" s="1940" t="s">
        <v>3479</v>
      </c>
      <c r="CH15" s="1944" t="s">
        <v>774</v>
      </c>
      <c r="CI15" s="1367" t="s">
        <v>3480</v>
      </c>
      <c r="CJ15" s="2943">
        <f t="shared" si="10"/>
        <v>0.6</v>
      </c>
      <c r="CK15" s="2943">
        <f t="shared" si="10"/>
        <v>0.3</v>
      </c>
      <c r="CL15" s="2943">
        <f t="shared" si="10"/>
        <v>1</v>
      </c>
      <c r="CM15" s="2943">
        <f t="shared" si="10"/>
        <v>0.6</v>
      </c>
      <c r="CN15" s="2943">
        <f t="shared" si="10"/>
        <v>0.4</v>
      </c>
      <c r="CO15" s="2943">
        <f t="shared" si="10"/>
        <v>1</v>
      </c>
      <c r="CP15" s="2943">
        <f t="shared" si="10"/>
        <v>1</v>
      </c>
      <c r="CQ15" s="2946">
        <f t="shared" si="10"/>
        <v>1</v>
      </c>
      <c r="CR15" s="2943">
        <f t="shared" si="10"/>
        <v>0.6</v>
      </c>
      <c r="CS15" s="2943">
        <f t="shared" si="10"/>
        <v>0.3</v>
      </c>
      <c r="CT15" s="2943">
        <f t="shared" si="9"/>
        <v>0.3</v>
      </c>
      <c r="CU15" s="2943">
        <f t="shared" si="9"/>
        <v>0.3</v>
      </c>
      <c r="CV15" s="2943">
        <f t="shared" si="9"/>
        <v>0.3</v>
      </c>
      <c r="CW15" s="2445"/>
      <c r="CX15" s="1940" t="s">
        <v>3481</v>
      </c>
      <c r="CY15" s="1944" t="s">
        <v>774</v>
      </c>
      <c r="CZ15" s="1367" t="s">
        <v>3480</v>
      </c>
      <c r="DA15" s="2944">
        <v>0</v>
      </c>
      <c r="DB15" s="2945"/>
      <c r="DC15" s="2945"/>
      <c r="DD15" s="2945"/>
      <c r="DE15" s="2945"/>
      <c r="DF15" s="2945"/>
      <c r="DG15" s="2945"/>
      <c r="DH15" s="2948"/>
      <c r="DI15" s="2945"/>
      <c r="DJ15" s="2945"/>
      <c r="DK15" s="2945"/>
      <c r="DL15" s="2945"/>
      <c r="DM15" s="2945"/>
    </row>
    <row r="16" spans="1:117">
      <c r="B16" s="1914" t="str">
        <f t="shared" si="0"/>
        <v>1.2.2</v>
      </c>
      <c r="C16" s="1363" t="str">
        <f t="shared" si="1"/>
        <v>界壁遮音性能</v>
      </c>
      <c r="D16" s="1938">
        <f t="shared" si="12"/>
        <v>0.39370078740157483</v>
      </c>
      <c r="E16" s="1938">
        <f t="shared" si="12"/>
        <v>0.3</v>
      </c>
      <c r="G16" s="1939">
        <f t="shared" si="2"/>
        <v>0.39370078740157483</v>
      </c>
      <c r="H16" s="1939">
        <f t="shared" si="3"/>
        <v>4.7244094488188976E-3</v>
      </c>
      <c r="I16" s="1939"/>
      <c r="J16" s="1939"/>
      <c r="K16" s="1939">
        <f>IF(スコア!Q16=0,0,1)</f>
        <v>1</v>
      </c>
      <c r="L16" s="1939">
        <f>IF(スコア!T16=0,0,1)</f>
        <v>1</v>
      </c>
      <c r="M16" s="1939">
        <f t="shared" si="4"/>
        <v>0.39370078740157483</v>
      </c>
      <c r="N16" s="1939">
        <f t="shared" si="5"/>
        <v>4.7244094488188976E-3</v>
      </c>
      <c r="P16" s="1940" t="str">
        <f t="shared" si="6"/>
        <v>1.2.2</v>
      </c>
      <c r="Q16" s="1940" t="str">
        <f t="shared" si="6"/>
        <v xml:space="preserve"> Q1 1.2</v>
      </c>
      <c r="R16" s="1941" t="str">
        <f t="shared" si="6"/>
        <v>界壁遮音性能</v>
      </c>
      <c r="S16" s="1942">
        <f t="shared" si="6"/>
        <v>0.4</v>
      </c>
      <c r="T16" s="1942">
        <f t="shared" si="7"/>
        <v>0.3</v>
      </c>
      <c r="U16" s="1942">
        <f t="shared" si="7"/>
        <v>0</v>
      </c>
      <c r="V16" s="1942">
        <f t="shared" si="7"/>
        <v>0.4</v>
      </c>
      <c r="W16" s="1942">
        <f t="shared" si="7"/>
        <v>0.6</v>
      </c>
      <c r="X16" s="1942">
        <f t="shared" si="7"/>
        <v>0</v>
      </c>
      <c r="Y16" s="1942">
        <f t="shared" si="7"/>
        <v>0</v>
      </c>
      <c r="Z16" s="1951">
        <f t="shared" si="7"/>
        <v>0</v>
      </c>
      <c r="AA16" s="1942">
        <f t="shared" si="7"/>
        <v>0.4</v>
      </c>
      <c r="AB16" s="1942">
        <f t="shared" si="8"/>
        <v>0.3</v>
      </c>
      <c r="AC16" s="1943">
        <f t="shared" si="8"/>
        <v>0.3</v>
      </c>
      <c r="AD16" s="1942">
        <f t="shared" si="8"/>
        <v>0.3</v>
      </c>
      <c r="AE16" s="1942">
        <f t="shared" si="8"/>
        <v>0.3</v>
      </c>
      <c r="AG16" s="1940" t="s">
        <v>207</v>
      </c>
      <c r="AH16" s="1944" t="s">
        <v>774</v>
      </c>
      <c r="AI16" s="1367" t="s">
        <v>578</v>
      </c>
      <c r="AJ16" s="1953">
        <v>1</v>
      </c>
      <c r="AK16" s="1947">
        <v>0.4</v>
      </c>
      <c r="AL16" s="1947"/>
      <c r="AM16" s="1947">
        <v>1</v>
      </c>
      <c r="AN16" s="1953">
        <v>0.4</v>
      </c>
      <c r="AO16" s="1947"/>
      <c r="AP16" s="1947"/>
      <c r="AQ16" s="1954"/>
      <c r="AR16" s="1953">
        <v>1</v>
      </c>
      <c r="AS16" s="1947">
        <v>0.4</v>
      </c>
      <c r="AT16" s="1948">
        <v>1</v>
      </c>
      <c r="AU16" s="1947">
        <v>0.4</v>
      </c>
      <c r="AV16" s="1947">
        <v>0.4</v>
      </c>
      <c r="AX16" s="1940" t="s">
        <v>207</v>
      </c>
      <c r="AY16" s="1944" t="s">
        <v>774</v>
      </c>
      <c r="AZ16" s="1367" t="s">
        <v>578</v>
      </c>
      <c r="BA16" s="1947">
        <v>0.4</v>
      </c>
      <c r="BB16" s="1947">
        <v>0.3</v>
      </c>
      <c r="BC16" s="1947"/>
      <c r="BD16" s="1947">
        <v>0.4</v>
      </c>
      <c r="BE16" s="1947">
        <v>0.6</v>
      </c>
      <c r="BF16" s="1947"/>
      <c r="BG16" s="1947"/>
      <c r="BH16" s="1949"/>
      <c r="BI16" s="1947">
        <v>0.4</v>
      </c>
      <c r="BJ16" s="1947">
        <v>0.3</v>
      </c>
      <c r="BK16" s="1948">
        <v>0.3</v>
      </c>
      <c r="BL16" s="1947">
        <v>0.3</v>
      </c>
      <c r="BM16" s="1947">
        <v>0.3</v>
      </c>
      <c r="BO16" s="1940" t="s">
        <v>3521</v>
      </c>
      <c r="BP16" s="1944" t="s">
        <v>774</v>
      </c>
      <c r="BQ16" s="1367" t="s">
        <v>578</v>
      </c>
      <c r="BR16" s="1947">
        <v>0.4</v>
      </c>
      <c r="BS16" s="1947">
        <v>0.3</v>
      </c>
      <c r="BT16" s="1947"/>
      <c r="BU16" s="1947">
        <v>0.4</v>
      </c>
      <c r="BV16" s="1947">
        <v>0.6</v>
      </c>
      <c r="BW16" s="1947"/>
      <c r="BX16" s="1947"/>
      <c r="BY16" s="1947"/>
      <c r="BZ16" s="1947">
        <v>0.4</v>
      </c>
      <c r="CA16" s="1947">
        <v>0.3</v>
      </c>
      <c r="CB16" s="1947">
        <v>0.3</v>
      </c>
      <c r="CC16" s="1947">
        <v>0.3</v>
      </c>
      <c r="CD16" s="1947">
        <v>0.3</v>
      </c>
      <c r="CE16" s="2302"/>
      <c r="CG16" s="1940" t="s">
        <v>3482</v>
      </c>
      <c r="CH16" s="1944" t="s">
        <v>774</v>
      </c>
      <c r="CI16" s="1367" t="s">
        <v>578</v>
      </c>
      <c r="CJ16" s="2943">
        <f t="shared" si="10"/>
        <v>0.4</v>
      </c>
      <c r="CK16" s="2943">
        <f t="shared" si="10"/>
        <v>0.3</v>
      </c>
      <c r="CL16" s="2943">
        <f t="shared" si="10"/>
        <v>0</v>
      </c>
      <c r="CM16" s="2943">
        <f t="shared" si="10"/>
        <v>0.4</v>
      </c>
      <c r="CN16" s="2943">
        <f t="shared" si="10"/>
        <v>0.6</v>
      </c>
      <c r="CO16" s="2943">
        <f t="shared" si="10"/>
        <v>0</v>
      </c>
      <c r="CP16" s="2943">
        <f t="shared" si="10"/>
        <v>0</v>
      </c>
      <c r="CQ16" s="2946">
        <f t="shared" si="10"/>
        <v>0</v>
      </c>
      <c r="CR16" s="2943">
        <f t="shared" si="10"/>
        <v>0.4</v>
      </c>
      <c r="CS16" s="2943">
        <f t="shared" si="10"/>
        <v>0.3</v>
      </c>
      <c r="CT16" s="2943">
        <f t="shared" si="9"/>
        <v>0.3</v>
      </c>
      <c r="CU16" s="2943">
        <f t="shared" si="9"/>
        <v>0.3</v>
      </c>
      <c r="CV16" s="2943">
        <f t="shared" si="9"/>
        <v>0.3</v>
      </c>
      <c r="CW16" s="2445"/>
      <c r="CX16" s="1940" t="s">
        <v>3482</v>
      </c>
      <c r="CY16" s="1944" t="s">
        <v>774</v>
      </c>
      <c r="CZ16" s="1367" t="s">
        <v>578</v>
      </c>
      <c r="DA16" s="2944">
        <v>0</v>
      </c>
      <c r="DB16" s="2945"/>
      <c r="DC16" s="2945"/>
      <c r="DD16" s="2945"/>
      <c r="DE16" s="2945"/>
      <c r="DF16" s="2945"/>
      <c r="DG16" s="2945"/>
      <c r="DH16" s="2948"/>
      <c r="DI16" s="2945"/>
      <c r="DJ16" s="2945"/>
      <c r="DK16" s="2945"/>
      <c r="DL16" s="2945"/>
      <c r="DM16" s="2945"/>
    </row>
    <row r="17" spans="1:117">
      <c r="B17" s="1914" t="str">
        <f t="shared" si="0"/>
        <v>1.2.3</v>
      </c>
      <c r="C17" s="1363" t="str">
        <f t="shared" si="1"/>
        <v>界床遮音性能（軽量衝撃源）</v>
      </c>
      <c r="D17" s="1938">
        <f t="shared" si="12"/>
        <v>0</v>
      </c>
      <c r="E17" s="1938">
        <f t="shared" si="12"/>
        <v>0.2</v>
      </c>
      <c r="G17" s="1939">
        <f t="shared" si="2"/>
        <v>0</v>
      </c>
      <c r="H17" s="1939">
        <f t="shared" si="3"/>
        <v>3.1496062992125984E-3</v>
      </c>
      <c r="I17" s="1939"/>
      <c r="J17" s="1939"/>
      <c r="K17" s="1939">
        <f>IF(スコア!Q17=0,0,1)</f>
        <v>1</v>
      </c>
      <c r="L17" s="1939">
        <f>IF(スコア!T17=0,0,1)</f>
        <v>1</v>
      </c>
      <c r="M17" s="1939">
        <f t="shared" si="4"/>
        <v>0</v>
      </c>
      <c r="N17" s="1939">
        <f t="shared" si="5"/>
        <v>3.1496062992125984E-3</v>
      </c>
      <c r="P17" s="1940" t="str">
        <f t="shared" si="6"/>
        <v>1.2.3</v>
      </c>
      <c r="Q17" s="1940" t="str">
        <f t="shared" si="6"/>
        <v xml:space="preserve"> Q1 1.2</v>
      </c>
      <c r="R17" s="1941" t="str">
        <f t="shared" si="6"/>
        <v>界床遮音性能（軽量衝撃源）</v>
      </c>
      <c r="S17" s="1942">
        <f t="shared" si="6"/>
        <v>0</v>
      </c>
      <c r="T17" s="1942">
        <f t="shared" si="7"/>
        <v>0.2</v>
      </c>
      <c r="U17" s="1942">
        <f t="shared" si="7"/>
        <v>0</v>
      </c>
      <c r="V17" s="1942">
        <f t="shared" si="7"/>
        <v>0</v>
      </c>
      <c r="W17" s="1942">
        <f t="shared" si="7"/>
        <v>0</v>
      </c>
      <c r="X17" s="1942">
        <f t="shared" si="7"/>
        <v>0</v>
      </c>
      <c r="Y17" s="1942">
        <f t="shared" si="7"/>
        <v>0</v>
      </c>
      <c r="Z17" s="1951">
        <f t="shared" si="7"/>
        <v>0</v>
      </c>
      <c r="AA17" s="1942">
        <f t="shared" si="7"/>
        <v>0</v>
      </c>
      <c r="AB17" s="1942">
        <f t="shared" si="8"/>
        <v>0.2</v>
      </c>
      <c r="AC17" s="1943">
        <f t="shared" si="8"/>
        <v>0.2</v>
      </c>
      <c r="AD17" s="1942">
        <f t="shared" si="8"/>
        <v>0.2</v>
      </c>
      <c r="AE17" s="1942">
        <f t="shared" si="8"/>
        <v>0.2</v>
      </c>
      <c r="AG17" s="1940" t="s">
        <v>208</v>
      </c>
      <c r="AH17" s="1944" t="s">
        <v>774</v>
      </c>
      <c r="AI17" s="1367" t="s">
        <v>579</v>
      </c>
      <c r="AJ17" s="1947"/>
      <c r="AK17" s="1947">
        <v>0.3</v>
      </c>
      <c r="AL17" s="1947"/>
      <c r="AM17" s="1947"/>
      <c r="AN17" s="1953">
        <v>0.6</v>
      </c>
      <c r="AO17" s="1947"/>
      <c r="AP17" s="1947"/>
      <c r="AQ17" s="1954"/>
      <c r="AR17" s="1947"/>
      <c r="AS17" s="1947">
        <v>0.3</v>
      </c>
      <c r="AT17" s="1948"/>
      <c r="AU17" s="1947">
        <v>0.3</v>
      </c>
      <c r="AV17" s="1947">
        <v>0.3</v>
      </c>
      <c r="AX17" s="1940" t="s">
        <v>208</v>
      </c>
      <c r="AY17" s="1944" t="s">
        <v>774</v>
      </c>
      <c r="AZ17" s="1367" t="s">
        <v>579</v>
      </c>
      <c r="BA17" s="1947"/>
      <c r="BB17" s="1947">
        <v>0.15</v>
      </c>
      <c r="BC17" s="1947"/>
      <c r="BD17" s="1947"/>
      <c r="BE17" s="1947"/>
      <c r="BF17" s="1947"/>
      <c r="BG17" s="1947"/>
      <c r="BH17" s="1949"/>
      <c r="BI17" s="1947"/>
      <c r="BJ17" s="1947">
        <v>0.15</v>
      </c>
      <c r="BK17" s="1948">
        <v>0.2</v>
      </c>
      <c r="BL17" s="1947">
        <v>0.2</v>
      </c>
      <c r="BM17" s="1947">
        <v>0.2</v>
      </c>
      <c r="BO17" s="1940" t="s">
        <v>3524</v>
      </c>
      <c r="BP17" s="1944" t="s">
        <v>774</v>
      </c>
      <c r="BQ17" s="1367" t="s">
        <v>579</v>
      </c>
      <c r="BR17" s="1947"/>
      <c r="BS17" s="1947">
        <v>0.2</v>
      </c>
      <c r="BT17" s="1947"/>
      <c r="BU17" s="1947"/>
      <c r="BV17" s="1947"/>
      <c r="BW17" s="1947"/>
      <c r="BX17" s="1947"/>
      <c r="BY17" s="1954"/>
      <c r="BZ17" s="1947"/>
      <c r="CA17" s="1947">
        <v>0.2</v>
      </c>
      <c r="CB17" s="1948">
        <v>0.2</v>
      </c>
      <c r="CC17" s="1947">
        <v>0.2</v>
      </c>
      <c r="CD17" s="1947">
        <v>0.2</v>
      </c>
      <c r="CE17" s="2302"/>
      <c r="CG17" s="1940" t="s">
        <v>3483</v>
      </c>
      <c r="CH17" s="1944" t="s">
        <v>774</v>
      </c>
      <c r="CI17" s="1367" t="s">
        <v>579</v>
      </c>
      <c r="CJ17" s="2943">
        <f t="shared" si="10"/>
        <v>0</v>
      </c>
      <c r="CK17" s="2943">
        <f t="shared" si="10"/>
        <v>0.2</v>
      </c>
      <c r="CL17" s="2943">
        <f t="shared" si="10"/>
        <v>0</v>
      </c>
      <c r="CM17" s="2943">
        <f t="shared" si="10"/>
        <v>0</v>
      </c>
      <c r="CN17" s="2943">
        <f t="shared" si="10"/>
        <v>0</v>
      </c>
      <c r="CO17" s="2943">
        <f t="shared" si="10"/>
        <v>0</v>
      </c>
      <c r="CP17" s="2943">
        <f t="shared" si="10"/>
        <v>0</v>
      </c>
      <c r="CQ17" s="2946">
        <f t="shared" si="10"/>
        <v>0</v>
      </c>
      <c r="CR17" s="2943">
        <f t="shared" si="10"/>
        <v>0</v>
      </c>
      <c r="CS17" s="2943">
        <f t="shared" si="10"/>
        <v>0.2</v>
      </c>
      <c r="CT17" s="2947">
        <f t="shared" si="9"/>
        <v>0.2</v>
      </c>
      <c r="CU17" s="2943">
        <f t="shared" si="9"/>
        <v>0.2</v>
      </c>
      <c r="CV17" s="2943">
        <f t="shared" si="9"/>
        <v>0.2</v>
      </c>
      <c r="CW17" s="2445"/>
      <c r="CX17" s="1940" t="s">
        <v>3483</v>
      </c>
      <c r="CY17" s="1944" t="s">
        <v>774</v>
      </c>
      <c r="CZ17" s="1367" t="s">
        <v>579</v>
      </c>
      <c r="DA17" s="2944">
        <v>0</v>
      </c>
      <c r="DB17" s="2945"/>
      <c r="DC17" s="2945"/>
      <c r="DD17" s="2945"/>
      <c r="DE17" s="2945"/>
      <c r="DF17" s="2945"/>
      <c r="DG17" s="2945"/>
      <c r="DH17" s="2948"/>
      <c r="DI17" s="2945"/>
      <c r="DJ17" s="2945"/>
      <c r="DK17" s="2949"/>
      <c r="DL17" s="2945"/>
      <c r="DM17" s="2945"/>
    </row>
    <row r="18" spans="1:117">
      <c r="B18" s="1914" t="str">
        <f t="shared" si="0"/>
        <v>1.2.4</v>
      </c>
      <c r="C18" s="1363" t="str">
        <f t="shared" si="1"/>
        <v>界床遮音性能（重量衝撃源）</v>
      </c>
      <c r="D18" s="1938">
        <f t="shared" si="12"/>
        <v>0</v>
      </c>
      <c r="E18" s="1938">
        <f t="shared" si="12"/>
        <v>0.2</v>
      </c>
      <c r="G18" s="1939">
        <f t="shared" si="2"/>
        <v>0</v>
      </c>
      <c r="H18" s="1939">
        <f t="shared" si="3"/>
        <v>3.1496062992125984E-3</v>
      </c>
      <c r="I18" s="1939"/>
      <c r="J18" s="1939"/>
      <c r="K18" s="1939">
        <f>IF(スコア!Q18=0,0,1)</f>
        <v>1</v>
      </c>
      <c r="L18" s="1939">
        <f>IF(スコア!T18=0,0,1)</f>
        <v>1</v>
      </c>
      <c r="M18" s="1939">
        <f t="shared" si="4"/>
        <v>0</v>
      </c>
      <c r="N18" s="1939">
        <f t="shared" si="5"/>
        <v>3.1496062992125984E-3</v>
      </c>
      <c r="P18" s="1940" t="str">
        <f t="shared" si="6"/>
        <v>1.2.4</v>
      </c>
      <c r="Q18" s="1940" t="str">
        <f t="shared" si="6"/>
        <v xml:space="preserve"> Q1 1.2</v>
      </c>
      <c r="R18" s="1941" t="str">
        <f t="shared" si="6"/>
        <v>界床遮音性能（重量衝撃源）</v>
      </c>
      <c r="S18" s="1942">
        <f t="shared" si="6"/>
        <v>0</v>
      </c>
      <c r="T18" s="1942">
        <f t="shared" si="7"/>
        <v>0.2</v>
      </c>
      <c r="U18" s="1942">
        <f t="shared" si="7"/>
        <v>0</v>
      </c>
      <c r="V18" s="1942">
        <f t="shared" si="7"/>
        <v>0</v>
      </c>
      <c r="W18" s="1942">
        <f t="shared" si="7"/>
        <v>0</v>
      </c>
      <c r="X18" s="1942">
        <f t="shared" si="7"/>
        <v>0</v>
      </c>
      <c r="Y18" s="1942">
        <f t="shared" si="7"/>
        <v>0</v>
      </c>
      <c r="Z18" s="1951">
        <f t="shared" si="7"/>
        <v>0</v>
      </c>
      <c r="AA18" s="1942">
        <f t="shared" si="7"/>
        <v>0</v>
      </c>
      <c r="AB18" s="1942">
        <f t="shared" si="8"/>
        <v>0.2</v>
      </c>
      <c r="AC18" s="1943">
        <f t="shared" si="8"/>
        <v>0.2</v>
      </c>
      <c r="AD18" s="1942">
        <f t="shared" si="8"/>
        <v>0.2</v>
      </c>
      <c r="AE18" s="1942">
        <f t="shared" si="8"/>
        <v>0.2</v>
      </c>
      <c r="AG18" s="1940" t="s">
        <v>209</v>
      </c>
      <c r="AH18" s="1944" t="s">
        <v>774</v>
      </c>
      <c r="AI18" s="1367" t="s">
        <v>580</v>
      </c>
      <c r="AJ18" s="1947"/>
      <c r="AK18" s="1947">
        <v>0.3</v>
      </c>
      <c r="AL18" s="1947"/>
      <c r="AM18" s="1947"/>
      <c r="AN18" s="1947"/>
      <c r="AO18" s="1947"/>
      <c r="AP18" s="1947"/>
      <c r="AQ18" s="1954"/>
      <c r="AR18" s="1947"/>
      <c r="AS18" s="1947">
        <v>0.3</v>
      </c>
      <c r="AT18" s="1948"/>
      <c r="AU18" s="1947">
        <v>0.3</v>
      </c>
      <c r="AV18" s="1947">
        <v>0.3</v>
      </c>
      <c r="AX18" s="1940" t="s">
        <v>209</v>
      </c>
      <c r="AY18" s="1944" t="s">
        <v>774</v>
      </c>
      <c r="AZ18" s="1367" t="s">
        <v>580</v>
      </c>
      <c r="BA18" s="1947"/>
      <c r="BB18" s="1947">
        <v>0.15</v>
      </c>
      <c r="BC18" s="1947"/>
      <c r="BD18" s="1947"/>
      <c r="BE18" s="1947"/>
      <c r="BF18" s="1947"/>
      <c r="BG18" s="1947"/>
      <c r="BH18" s="1949"/>
      <c r="BI18" s="1947"/>
      <c r="BJ18" s="1947">
        <v>0.15</v>
      </c>
      <c r="BK18" s="1948">
        <v>0.2</v>
      </c>
      <c r="BL18" s="1947">
        <v>0.2</v>
      </c>
      <c r="BM18" s="1947">
        <v>0.2</v>
      </c>
      <c r="BO18" s="1940" t="s">
        <v>3525</v>
      </c>
      <c r="BP18" s="1944" t="s">
        <v>774</v>
      </c>
      <c r="BQ18" s="1367" t="s">
        <v>580</v>
      </c>
      <c r="BR18" s="1947"/>
      <c r="BS18" s="1947">
        <v>0.2</v>
      </c>
      <c r="BT18" s="1947"/>
      <c r="BU18" s="1947"/>
      <c r="BV18" s="1947"/>
      <c r="BW18" s="1947"/>
      <c r="BX18" s="1947"/>
      <c r="BY18" s="1954"/>
      <c r="BZ18" s="1947"/>
      <c r="CA18" s="1947">
        <v>0.2</v>
      </c>
      <c r="CB18" s="1948">
        <v>0.2</v>
      </c>
      <c r="CC18" s="1947">
        <v>0.2</v>
      </c>
      <c r="CD18" s="1947">
        <v>0.2</v>
      </c>
      <c r="CE18" s="2302"/>
      <c r="CG18" s="1940" t="s">
        <v>3484</v>
      </c>
      <c r="CH18" s="1944" t="s">
        <v>774</v>
      </c>
      <c r="CI18" s="1367" t="s">
        <v>580</v>
      </c>
      <c r="CJ18" s="2943">
        <f t="shared" si="10"/>
        <v>0</v>
      </c>
      <c r="CK18" s="2943">
        <f t="shared" si="10"/>
        <v>0.2</v>
      </c>
      <c r="CL18" s="2943">
        <f t="shared" si="10"/>
        <v>0</v>
      </c>
      <c r="CM18" s="2943">
        <f t="shared" si="10"/>
        <v>0</v>
      </c>
      <c r="CN18" s="2943">
        <f t="shared" si="10"/>
        <v>0</v>
      </c>
      <c r="CO18" s="2943">
        <f t="shared" si="10"/>
        <v>0</v>
      </c>
      <c r="CP18" s="2943">
        <f t="shared" si="10"/>
        <v>0</v>
      </c>
      <c r="CQ18" s="2946">
        <f t="shared" si="10"/>
        <v>0</v>
      </c>
      <c r="CR18" s="2943">
        <f t="shared" si="10"/>
        <v>0</v>
      </c>
      <c r="CS18" s="2943">
        <f t="shared" si="10"/>
        <v>0.2</v>
      </c>
      <c r="CT18" s="2947">
        <f t="shared" si="9"/>
        <v>0.2</v>
      </c>
      <c r="CU18" s="2943">
        <f t="shared" si="9"/>
        <v>0.2</v>
      </c>
      <c r="CV18" s="2943">
        <f t="shared" si="9"/>
        <v>0.2</v>
      </c>
      <c r="CW18" s="2445"/>
      <c r="CX18" s="1940" t="s">
        <v>3484</v>
      </c>
      <c r="CY18" s="1944" t="s">
        <v>774</v>
      </c>
      <c r="CZ18" s="1367" t="s">
        <v>580</v>
      </c>
      <c r="DA18" s="2944">
        <v>0</v>
      </c>
      <c r="DB18" s="2945"/>
      <c r="DC18" s="2945"/>
      <c r="DD18" s="2945"/>
      <c r="DE18" s="2945"/>
      <c r="DF18" s="2945"/>
      <c r="DG18" s="2945"/>
      <c r="DH18" s="2948"/>
      <c r="DI18" s="2945"/>
      <c r="DJ18" s="2945"/>
      <c r="DK18" s="2949"/>
      <c r="DL18" s="2945"/>
      <c r="DM18" s="2945"/>
    </row>
    <row r="19" spans="1:117">
      <c r="B19" s="1914">
        <f t="shared" si="0"/>
        <v>1.3</v>
      </c>
      <c r="C19" s="1363" t="str">
        <f t="shared" si="1"/>
        <v>吸音</v>
      </c>
      <c r="D19" s="1938">
        <f>IF(I$10=0,0,G19/I$10)</f>
        <v>0.19685039370078741</v>
      </c>
      <c r="E19" s="1938">
        <f>IF(J$10=0,0,H19/J$10)</f>
        <v>0</v>
      </c>
      <c r="G19" s="1939">
        <f t="shared" si="2"/>
        <v>0.19685039370078741</v>
      </c>
      <c r="H19" s="1939">
        <f t="shared" si="3"/>
        <v>0</v>
      </c>
      <c r="I19" s="1939"/>
      <c r="J19" s="1939"/>
      <c r="K19" s="1939">
        <f>IF(スコア!Q19=0,0,1)</f>
        <v>1</v>
      </c>
      <c r="L19" s="1939">
        <f>IF(スコア!T19=0,0,1)</f>
        <v>1</v>
      </c>
      <c r="M19" s="1939">
        <f t="shared" si="4"/>
        <v>0.19685039370078741</v>
      </c>
      <c r="N19" s="1939">
        <f t="shared" si="5"/>
        <v>0</v>
      </c>
      <c r="P19" s="1940">
        <f t="shared" si="6"/>
        <v>1.3</v>
      </c>
      <c r="Q19" s="1940" t="str">
        <f t="shared" si="6"/>
        <v xml:space="preserve"> Q1 1</v>
      </c>
      <c r="R19" s="1941" t="str">
        <f t="shared" si="6"/>
        <v>吸音</v>
      </c>
      <c r="S19" s="1942">
        <f t="shared" si="6"/>
        <v>0.2</v>
      </c>
      <c r="T19" s="1942">
        <f t="shared" si="7"/>
        <v>0.2</v>
      </c>
      <c r="U19" s="1942">
        <f t="shared" si="7"/>
        <v>0.2</v>
      </c>
      <c r="V19" s="1942">
        <f t="shared" si="7"/>
        <v>0.2</v>
      </c>
      <c r="W19" s="1942">
        <f t="shared" si="7"/>
        <v>0.2</v>
      </c>
      <c r="X19" s="1942">
        <f t="shared" si="7"/>
        <v>0.2</v>
      </c>
      <c r="Y19" s="1942">
        <f t="shared" si="7"/>
        <v>0</v>
      </c>
      <c r="Z19" s="1951">
        <f t="shared" si="7"/>
        <v>0.2</v>
      </c>
      <c r="AA19" s="1942">
        <f t="shared" si="7"/>
        <v>0.2</v>
      </c>
      <c r="AB19" s="1942">
        <f t="shared" si="8"/>
        <v>0.2</v>
      </c>
      <c r="AC19" s="1943">
        <f t="shared" si="8"/>
        <v>0.2</v>
      </c>
      <c r="AD19" s="1942">
        <f t="shared" si="8"/>
        <v>0.2</v>
      </c>
      <c r="AE19" s="1942">
        <f t="shared" si="8"/>
        <v>0</v>
      </c>
      <c r="AG19" s="1940">
        <v>1.3</v>
      </c>
      <c r="AH19" s="1944" t="s">
        <v>768</v>
      </c>
      <c r="AI19" s="1367" t="s">
        <v>581</v>
      </c>
      <c r="AJ19" s="1953">
        <v>0.2</v>
      </c>
      <c r="AK19" s="1942">
        <v>0.2</v>
      </c>
      <c r="AL19" s="1942">
        <v>0.2</v>
      </c>
      <c r="AM19" s="1942">
        <v>0.2</v>
      </c>
      <c r="AN19" s="1953">
        <v>0.2</v>
      </c>
      <c r="AO19" s="1942">
        <v>0.2</v>
      </c>
      <c r="AP19" s="1942">
        <v>0.2</v>
      </c>
      <c r="AQ19" s="1953">
        <v>0.2</v>
      </c>
      <c r="AR19" s="1942"/>
      <c r="AS19" s="1947">
        <v>0.2</v>
      </c>
      <c r="AT19" s="1948"/>
      <c r="AU19" s="1947">
        <v>0.2</v>
      </c>
      <c r="AV19" s="1953">
        <v>0.2</v>
      </c>
      <c r="AX19" s="1940">
        <v>1.3</v>
      </c>
      <c r="AY19" s="1944" t="s">
        <v>768</v>
      </c>
      <c r="AZ19" s="1367" t="s">
        <v>581</v>
      </c>
      <c r="BA19" s="1947">
        <v>0.3</v>
      </c>
      <c r="BB19" s="1947">
        <v>0.3</v>
      </c>
      <c r="BC19" s="1947">
        <v>0.3</v>
      </c>
      <c r="BD19" s="1947">
        <v>0.3</v>
      </c>
      <c r="BE19" s="1947">
        <v>0.3</v>
      </c>
      <c r="BF19" s="1947">
        <v>0.3</v>
      </c>
      <c r="BG19" s="1947">
        <v>0</v>
      </c>
      <c r="BH19" s="1949">
        <v>0.2</v>
      </c>
      <c r="BI19" s="1947">
        <v>0.3</v>
      </c>
      <c r="BJ19" s="1947">
        <v>0.3</v>
      </c>
      <c r="BK19" s="1948">
        <v>0.3</v>
      </c>
      <c r="BL19" s="1947">
        <v>0.3</v>
      </c>
      <c r="BM19" s="1947">
        <v>0</v>
      </c>
      <c r="BO19" s="1940">
        <v>1.3</v>
      </c>
      <c r="BP19" s="1944" t="s">
        <v>768</v>
      </c>
      <c r="BQ19" s="1367" t="s">
        <v>581</v>
      </c>
      <c r="BR19" s="1947">
        <v>0.2</v>
      </c>
      <c r="BS19" s="1947">
        <v>0.2</v>
      </c>
      <c r="BT19" s="1947">
        <v>0.2</v>
      </c>
      <c r="BU19" s="1947">
        <v>0.2</v>
      </c>
      <c r="BV19" s="1947">
        <v>0.2</v>
      </c>
      <c r="BW19" s="1947">
        <v>0.2</v>
      </c>
      <c r="BX19" s="1947">
        <v>0</v>
      </c>
      <c r="BY19" s="1954">
        <v>0.2</v>
      </c>
      <c r="BZ19" s="1947">
        <v>0.2</v>
      </c>
      <c r="CA19" s="1947">
        <v>0.2</v>
      </c>
      <c r="CB19" s="1948">
        <v>0.2</v>
      </c>
      <c r="CC19" s="1947">
        <v>0.2</v>
      </c>
      <c r="CD19" s="1947">
        <v>0</v>
      </c>
      <c r="CE19" s="2302"/>
      <c r="CG19" s="1940">
        <v>1.3</v>
      </c>
      <c r="CH19" s="1944" t="s">
        <v>768</v>
      </c>
      <c r="CI19" s="1367" t="s">
        <v>581</v>
      </c>
      <c r="CJ19" s="2945">
        <v>0.33</v>
      </c>
      <c r="CK19" s="2945">
        <v>0.33</v>
      </c>
      <c r="CL19" s="2945">
        <v>0.33</v>
      </c>
      <c r="CM19" s="2945">
        <v>0.33</v>
      </c>
      <c r="CN19" s="2945">
        <v>0.33</v>
      </c>
      <c r="CO19" s="2945">
        <v>0.33</v>
      </c>
      <c r="CP19" s="2943">
        <f t="shared" si="10"/>
        <v>0</v>
      </c>
      <c r="CQ19" s="2945">
        <v>0.33</v>
      </c>
      <c r="CR19" s="2945">
        <v>0.33</v>
      </c>
      <c r="CS19" s="2945">
        <v>0.33</v>
      </c>
      <c r="CT19" s="2945">
        <v>0.33</v>
      </c>
      <c r="CU19" s="2945">
        <v>0.33</v>
      </c>
      <c r="CV19" s="2943">
        <f t="shared" si="9"/>
        <v>0</v>
      </c>
      <c r="CW19" s="2445"/>
      <c r="CX19" s="1940">
        <v>1.3</v>
      </c>
      <c r="CY19" s="1944" t="s">
        <v>768</v>
      </c>
      <c r="CZ19" s="1367" t="s">
        <v>581</v>
      </c>
      <c r="DA19" s="2944">
        <v>0</v>
      </c>
      <c r="DB19" s="2945"/>
      <c r="DC19" s="2945"/>
      <c r="DD19" s="2945"/>
      <c r="DE19" s="2945"/>
      <c r="DF19" s="2945"/>
      <c r="DG19" s="2945"/>
      <c r="DH19" s="2945"/>
      <c r="DI19" s="2945"/>
      <c r="DJ19" s="2945"/>
      <c r="DK19" s="2945"/>
      <c r="DL19" s="2945"/>
      <c r="DM19" s="2945"/>
    </row>
    <row r="20" spans="1:117" s="1328" customFormat="1">
      <c r="A20"/>
      <c r="B20" s="1914">
        <f t="shared" si="0"/>
        <v>2</v>
      </c>
      <c r="C20" s="1955" t="str">
        <f t="shared" si="1"/>
        <v>温熱環境</v>
      </c>
      <c r="D20" s="1925">
        <f>IF(I$9=0,0,G20/I$9)</f>
        <v>0.35</v>
      </c>
      <c r="E20" s="1926">
        <f>IF(J$9=0,0,H20/J$9)</f>
        <v>0</v>
      </c>
      <c r="F20"/>
      <c r="G20" s="1926">
        <f t="shared" si="2"/>
        <v>0.35</v>
      </c>
      <c r="H20" s="1926">
        <f t="shared" si="3"/>
        <v>0</v>
      </c>
      <c r="I20" s="1926">
        <f>G21+G30+G31+G32</f>
        <v>1</v>
      </c>
      <c r="J20" s="1926">
        <f>H21+H30+H31+H32</f>
        <v>1.5748031496062992E-2</v>
      </c>
      <c r="K20" s="1926">
        <f>IF(スコア!Q20=0,0,1)</f>
        <v>1</v>
      </c>
      <c r="L20" s="1926">
        <f>IF(スコア!T20=0,0,1)</f>
        <v>1</v>
      </c>
      <c r="M20" s="1926">
        <f t="shared" si="4"/>
        <v>0.35</v>
      </c>
      <c r="N20" s="1926">
        <f t="shared" si="5"/>
        <v>0</v>
      </c>
      <c r="O20"/>
      <c r="P20" s="1928">
        <f t="shared" si="6"/>
        <v>2</v>
      </c>
      <c r="Q20" s="1928" t="str">
        <f t="shared" si="6"/>
        <v xml:space="preserve"> Q1</v>
      </c>
      <c r="R20" s="1929" t="str">
        <f t="shared" si="6"/>
        <v>温熱環境</v>
      </c>
      <c r="S20" s="1930">
        <f t="shared" si="6"/>
        <v>0.35</v>
      </c>
      <c r="T20" s="1930">
        <f t="shared" si="7"/>
        <v>0.35</v>
      </c>
      <c r="U20" s="1930">
        <f t="shared" si="7"/>
        <v>0.35</v>
      </c>
      <c r="V20" s="1930">
        <f t="shared" si="7"/>
        <v>0.35</v>
      </c>
      <c r="W20" s="1930">
        <f t="shared" si="7"/>
        <v>0.35</v>
      </c>
      <c r="X20" s="1930">
        <f t="shared" si="7"/>
        <v>0.35</v>
      </c>
      <c r="Y20" s="1930">
        <f t="shared" si="7"/>
        <v>0.35</v>
      </c>
      <c r="Z20" s="1956">
        <f t="shared" si="7"/>
        <v>0.35</v>
      </c>
      <c r="AA20" s="1930">
        <f t="shared" si="7"/>
        <v>0.35</v>
      </c>
      <c r="AB20" s="1930">
        <f t="shared" si="8"/>
        <v>0.35</v>
      </c>
      <c r="AC20" s="1932">
        <f t="shared" si="8"/>
        <v>0</v>
      </c>
      <c r="AD20" s="1930">
        <f t="shared" si="8"/>
        <v>0</v>
      </c>
      <c r="AE20" s="1930">
        <f t="shared" si="8"/>
        <v>0</v>
      </c>
      <c r="AF20"/>
      <c r="AG20" s="1928">
        <v>2</v>
      </c>
      <c r="AH20" s="1933" t="s">
        <v>767</v>
      </c>
      <c r="AI20" s="1957" t="s">
        <v>760</v>
      </c>
      <c r="AJ20" s="1930">
        <v>0.35</v>
      </c>
      <c r="AK20" s="1930">
        <v>0.35</v>
      </c>
      <c r="AL20" s="1930">
        <v>0.35</v>
      </c>
      <c r="AM20" s="1930">
        <v>0.35</v>
      </c>
      <c r="AN20" s="1930">
        <v>0.35</v>
      </c>
      <c r="AO20" s="1930">
        <v>0.35</v>
      </c>
      <c r="AP20" s="1930">
        <v>0.35</v>
      </c>
      <c r="AQ20" s="1930">
        <v>0.44</v>
      </c>
      <c r="AR20" s="1930">
        <v>0.35</v>
      </c>
      <c r="AS20" s="1934">
        <v>0.35</v>
      </c>
      <c r="AT20" s="1935"/>
      <c r="AU20" s="1934"/>
      <c r="AV20" s="1934"/>
      <c r="AW20"/>
      <c r="AX20" s="1928">
        <v>2</v>
      </c>
      <c r="AY20" s="1933" t="s">
        <v>767</v>
      </c>
      <c r="AZ20" s="1957" t="s">
        <v>760</v>
      </c>
      <c r="BA20" s="1934">
        <v>0.35</v>
      </c>
      <c r="BB20" s="1934">
        <v>0.35</v>
      </c>
      <c r="BC20" s="1934">
        <v>0.35</v>
      </c>
      <c r="BD20" s="1934">
        <v>0.35</v>
      </c>
      <c r="BE20" s="1934">
        <v>0.35</v>
      </c>
      <c r="BF20" s="1934">
        <v>0.35</v>
      </c>
      <c r="BG20" s="1934">
        <v>0.35</v>
      </c>
      <c r="BH20" s="1958">
        <v>0.44</v>
      </c>
      <c r="BI20" s="1934">
        <v>0.35</v>
      </c>
      <c r="BJ20" s="1934">
        <v>0.35</v>
      </c>
      <c r="BK20" s="1935"/>
      <c r="BL20" s="1934"/>
      <c r="BM20" s="1934"/>
      <c r="BN20"/>
      <c r="BO20" s="1928">
        <v>2</v>
      </c>
      <c r="BP20" s="1933" t="s">
        <v>767</v>
      </c>
      <c r="BQ20" s="1957" t="s">
        <v>760</v>
      </c>
      <c r="BR20" s="1934">
        <v>0.35</v>
      </c>
      <c r="BS20" s="1934">
        <v>0.35</v>
      </c>
      <c r="BT20" s="1934">
        <v>0.35</v>
      </c>
      <c r="BU20" s="1934">
        <v>0.35</v>
      </c>
      <c r="BV20" s="1934">
        <v>0.35</v>
      </c>
      <c r="BW20" s="1934">
        <v>0.35</v>
      </c>
      <c r="BX20" s="1934">
        <v>0.35</v>
      </c>
      <c r="BY20" s="1958">
        <v>0.35</v>
      </c>
      <c r="BZ20" s="1934">
        <v>0.35</v>
      </c>
      <c r="CA20" s="1934">
        <v>0.35</v>
      </c>
      <c r="CB20" s="1935"/>
      <c r="CC20" s="1934"/>
      <c r="CD20" s="1934"/>
      <c r="CE20" s="2301"/>
      <c r="CF20"/>
      <c r="CG20" s="1928">
        <v>2</v>
      </c>
      <c r="CH20" s="1933" t="s">
        <v>767</v>
      </c>
      <c r="CI20" s="1957" t="s">
        <v>760</v>
      </c>
      <c r="CJ20" s="2937">
        <f t="shared" si="10"/>
        <v>0.35</v>
      </c>
      <c r="CK20" s="2937">
        <f t="shared" si="10"/>
        <v>0.35</v>
      </c>
      <c r="CL20" s="2937">
        <f t="shared" si="10"/>
        <v>0.35</v>
      </c>
      <c r="CM20" s="2937">
        <f t="shared" si="10"/>
        <v>0.35</v>
      </c>
      <c r="CN20" s="2937">
        <f t="shared" si="10"/>
        <v>0.35</v>
      </c>
      <c r="CO20" s="2937">
        <f t="shared" si="10"/>
        <v>0.35</v>
      </c>
      <c r="CP20" s="2937">
        <f t="shared" si="10"/>
        <v>0.35</v>
      </c>
      <c r="CQ20" s="2950">
        <f t="shared" si="10"/>
        <v>0.35</v>
      </c>
      <c r="CR20" s="2937">
        <f t="shared" si="10"/>
        <v>0.35</v>
      </c>
      <c r="CS20" s="2937">
        <f t="shared" si="10"/>
        <v>0.35</v>
      </c>
      <c r="CT20" s="2939">
        <f t="shared" si="9"/>
        <v>0</v>
      </c>
      <c r="CU20" s="2937">
        <f t="shared" si="9"/>
        <v>0</v>
      </c>
      <c r="CV20" s="2937">
        <f t="shared" si="9"/>
        <v>0</v>
      </c>
      <c r="CW20" s="2445"/>
      <c r="CX20" s="1928">
        <v>2</v>
      </c>
      <c r="CY20" s="1933" t="s">
        <v>767</v>
      </c>
      <c r="CZ20" s="1957" t="s">
        <v>760</v>
      </c>
      <c r="DA20" s="2940">
        <f t="shared" si="11"/>
        <v>0.35</v>
      </c>
      <c r="DB20" s="2940"/>
      <c r="DC20" s="2940"/>
      <c r="DD20" s="2940"/>
      <c r="DE20" s="2940"/>
      <c r="DF20" s="2940"/>
      <c r="DG20" s="2940"/>
      <c r="DH20" s="2951"/>
      <c r="DI20" s="2940"/>
      <c r="DJ20" s="2940"/>
      <c r="DK20" s="2942"/>
      <c r="DL20" s="2940"/>
      <c r="DM20" s="2940"/>
    </row>
    <row r="21" spans="1:117">
      <c r="B21" s="1914">
        <f t="shared" si="0"/>
        <v>2.1</v>
      </c>
      <c r="C21" s="1959" t="str">
        <f t="shared" si="1"/>
        <v>室温制御</v>
      </c>
      <c r="D21" s="1938">
        <f>IF(I$20=0,0,G21/I$20)</f>
        <v>0.5</v>
      </c>
      <c r="E21" s="1939">
        <f>IF(J$20=0,0,H21/J$20)</f>
        <v>0.5</v>
      </c>
      <c r="G21" s="1939">
        <f t="shared" si="2"/>
        <v>0.5</v>
      </c>
      <c r="H21" s="1939">
        <f t="shared" si="3"/>
        <v>7.874015748031496E-3</v>
      </c>
      <c r="I21" s="1939">
        <f>SUM(G22:G29)</f>
        <v>1</v>
      </c>
      <c r="J21" s="1939">
        <f>SUM(H22:H29)</f>
        <v>1.5748031496062992E-2</v>
      </c>
      <c r="K21" s="1939">
        <f>IF(スコア!Q21=0,0,1)</f>
        <v>1</v>
      </c>
      <c r="L21" s="1939">
        <f>IF(スコア!T21=0,0,1)</f>
        <v>1</v>
      </c>
      <c r="M21" s="1939">
        <f t="shared" si="4"/>
        <v>0.5</v>
      </c>
      <c r="N21" s="1939">
        <f t="shared" si="5"/>
        <v>7.874015748031496E-3</v>
      </c>
      <c r="P21" s="1940">
        <f t="shared" si="6"/>
        <v>2.1</v>
      </c>
      <c r="Q21" s="1940" t="str">
        <f t="shared" si="6"/>
        <v xml:space="preserve"> Q1 2</v>
      </c>
      <c r="R21" s="1941" t="str">
        <f t="shared" si="6"/>
        <v>室温制御</v>
      </c>
      <c r="S21" s="1942">
        <f t="shared" si="6"/>
        <v>0.5</v>
      </c>
      <c r="T21" s="1942">
        <f t="shared" si="7"/>
        <v>0.5</v>
      </c>
      <c r="U21" s="1942">
        <f t="shared" si="7"/>
        <v>0.5</v>
      </c>
      <c r="V21" s="1942">
        <f t="shared" si="7"/>
        <v>0.5</v>
      </c>
      <c r="W21" s="1942">
        <f t="shared" si="7"/>
        <v>0.5</v>
      </c>
      <c r="X21" s="1942">
        <f t="shared" si="7"/>
        <v>0.5</v>
      </c>
      <c r="Y21" s="1942">
        <f t="shared" si="7"/>
        <v>0.5</v>
      </c>
      <c r="Z21" s="1960">
        <f t="shared" si="7"/>
        <v>0.5</v>
      </c>
      <c r="AA21" s="1942">
        <f t="shared" si="7"/>
        <v>0.5</v>
      </c>
      <c r="AB21" s="1942">
        <f t="shared" si="8"/>
        <v>0.5</v>
      </c>
      <c r="AC21" s="1943">
        <f t="shared" si="8"/>
        <v>0.5</v>
      </c>
      <c r="AD21" s="1942">
        <f t="shared" si="8"/>
        <v>0.5</v>
      </c>
      <c r="AE21" s="1942">
        <f t="shared" si="8"/>
        <v>0.5</v>
      </c>
      <c r="AG21" s="1940">
        <v>2.1</v>
      </c>
      <c r="AH21" s="1944" t="s">
        <v>775</v>
      </c>
      <c r="AI21" s="1941" t="s">
        <v>583</v>
      </c>
      <c r="AJ21" s="1942">
        <v>0.5</v>
      </c>
      <c r="AK21" s="1942">
        <v>0.5</v>
      </c>
      <c r="AL21" s="1942">
        <v>0.5</v>
      </c>
      <c r="AM21" s="1942">
        <v>0.5</v>
      </c>
      <c r="AN21" s="1942">
        <v>0.5</v>
      </c>
      <c r="AO21" s="1942">
        <v>0.5</v>
      </c>
      <c r="AP21" s="1942">
        <v>0.5</v>
      </c>
      <c r="AQ21" s="1942">
        <v>0.5</v>
      </c>
      <c r="AR21" s="1942">
        <v>0.5</v>
      </c>
      <c r="AS21" s="1947">
        <v>0.5</v>
      </c>
      <c r="AT21" s="1948">
        <v>1</v>
      </c>
      <c r="AU21" s="1947">
        <v>1</v>
      </c>
      <c r="AV21" s="1947">
        <v>1</v>
      </c>
      <c r="AX21" s="1940">
        <v>2.1</v>
      </c>
      <c r="AY21" s="1944" t="s">
        <v>775</v>
      </c>
      <c r="AZ21" s="1941" t="s">
        <v>583</v>
      </c>
      <c r="BA21" s="1947">
        <v>0.5</v>
      </c>
      <c r="BB21" s="1947">
        <v>0.5</v>
      </c>
      <c r="BC21" s="1947">
        <v>0.5</v>
      </c>
      <c r="BD21" s="1947">
        <v>0.5</v>
      </c>
      <c r="BE21" s="1947">
        <v>0.5</v>
      </c>
      <c r="BF21" s="1947">
        <v>0.5</v>
      </c>
      <c r="BG21" s="1947">
        <v>0.5</v>
      </c>
      <c r="BH21" s="1949">
        <v>0.5</v>
      </c>
      <c r="BI21" s="1947">
        <v>0.5</v>
      </c>
      <c r="BJ21" s="1947">
        <v>0.5</v>
      </c>
      <c r="BK21" s="1948">
        <v>0.5</v>
      </c>
      <c r="BL21" s="1947">
        <v>0.5</v>
      </c>
      <c r="BM21" s="1947">
        <v>0.5</v>
      </c>
      <c r="BO21" s="1940">
        <v>2.1</v>
      </c>
      <c r="BP21" s="1944" t="s">
        <v>775</v>
      </c>
      <c r="BQ21" s="1941" t="s">
        <v>3727</v>
      </c>
      <c r="BR21" s="1947">
        <v>0.5</v>
      </c>
      <c r="BS21" s="1947">
        <v>0.5</v>
      </c>
      <c r="BT21" s="1947">
        <v>0.5</v>
      </c>
      <c r="BU21" s="1947">
        <v>0.5</v>
      </c>
      <c r="BV21" s="1947">
        <v>0.5</v>
      </c>
      <c r="BW21" s="1947">
        <v>0.5</v>
      </c>
      <c r="BX21" s="1947">
        <v>0.5</v>
      </c>
      <c r="BY21" s="1949">
        <v>0.5</v>
      </c>
      <c r="BZ21" s="1947">
        <v>0.5</v>
      </c>
      <c r="CA21" s="1947">
        <v>0.5</v>
      </c>
      <c r="CB21" s="1948">
        <v>0.5</v>
      </c>
      <c r="CC21" s="1947">
        <v>0.5</v>
      </c>
      <c r="CD21" s="1947">
        <v>0.5</v>
      </c>
      <c r="CE21" s="2302"/>
      <c r="CG21" s="1940">
        <v>2.1</v>
      </c>
      <c r="CH21" s="1944" t="s">
        <v>775</v>
      </c>
      <c r="CI21" s="1941" t="s">
        <v>583</v>
      </c>
      <c r="CJ21" s="2943">
        <f t="shared" si="10"/>
        <v>0.5</v>
      </c>
      <c r="CK21" s="2943">
        <f t="shared" si="10"/>
        <v>0.5</v>
      </c>
      <c r="CL21" s="2943">
        <f t="shared" si="10"/>
        <v>0.5</v>
      </c>
      <c r="CM21" s="2943">
        <f t="shared" si="10"/>
        <v>0.5</v>
      </c>
      <c r="CN21" s="2943">
        <f t="shared" si="10"/>
        <v>0.5</v>
      </c>
      <c r="CO21" s="2943">
        <f t="shared" si="10"/>
        <v>0.5</v>
      </c>
      <c r="CP21" s="2943">
        <f t="shared" si="10"/>
        <v>0.5</v>
      </c>
      <c r="CQ21" s="2952">
        <f t="shared" si="10"/>
        <v>0.5</v>
      </c>
      <c r="CR21" s="2943">
        <f t="shared" si="10"/>
        <v>0.5</v>
      </c>
      <c r="CS21" s="2943">
        <f t="shared" si="10"/>
        <v>0.5</v>
      </c>
      <c r="CT21" s="2947">
        <f t="shared" si="9"/>
        <v>0.5</v>
      </c>
      <c r="CU21" s="2943">
        <f t="shared" si="9"/>
        <v>0.5</v>
      </c>
      <c r="CV21" s="2943">
        <f t="shared" si="9"/>
        <v>0.5</v>
      </c>
      <c r="CW21" s="2445"/>
      <c r="CX21" s="1940">
        <v>2.1</v>
      </c>
      <c r="CY21" s="1944" t="s">
        <v>775</v>
      </c>
      <c r="CZ21" s="1941" t="s">
        <v>583</v>
      </c>
      <c r="DA21" s="2945">
        <f t="shared" si="11"/>
        <v>0.5</v>
      </c>
      <c r="DB21" s="2945"/>
      <c r="DC21" s="2945"/>
      <c r="DD21" s="2945"/>
      <c r="DE21" s="2945"/>
      <c r="DF21" s="2945"/>
      <c r="DG21" s="2945"/>
      <c r="DH21" s="2953"/>
      <c r="DI21" s="2945"/>
      <c r="DJ21" s="2945"/>
      <c r="DK21" s="2949"/>
      <c r="DL21" s="2945"/>
      <c r="DM21" s="2945"/>
    </row>
    <row r="22" spans="1:117">
      <c r="B22" s="1914" t="str">
        <f t="shared" si="0"/>
        <v>2.1.1</v>
      </c>
      <c r="C22" s="1937" t="str">
        <f t="shared" si="1"/>
        <v>室温</v>
      </c>
      <c r="D22" s="1927">
        <f t="shared" ref="D22:E29" si="13">IF(I$21&gt;0,G22/I$21,0)</f>
        <v>0.37893700787401569</v>
      </c>
      <c r="E22" s="1939">
        <f t="shared" si="13"/>
        <v>0.625</v>
      </c>
      <c r="G22" s="1939">
        <f t="shared" si="2"/>
        <v>0.37893700787401569</v>
      </c>
      <c r="H22" s="1939">
        <f t="shared" si="3"/>
        <v>9.8425196850393699E-3</v>
      </c>
      <c r="I22" s="1939"/>
      <c r="J22" s="1939"/>
      <c r="K22" s="1939">
        <f>IF(スコア!Q22=0,0,1)</f>
        <v>1</v>
      </c>
      <c r="L22" s="1939">
        <f>IF(スコア!T22=0,0,1)</f>
        <v>1</v>
      </c>
      <c r="M22" s="1939">
        <f t="shared" si="4"/>
        <v>0.37893700787401569</v>
      </c>
      <c r="N22" s="1939">
        <f t="shared" si="5"/>
        <v>9.8425196850393699E-3</v>
      </c>
      <c r="P22" s="1940" t="str">
        <f t="shared" si="6"/>
        <v>2.1.1</v>
      </c>
      <c r="Q22" s="1940" t="str">
        <f t="shared" si="6"/>
        <v xml:space="preserve"> Q1 2.1</v>
      </c>
      <c r="R22" s="1941" t="str">
        <f t="shared" si="6"/>
        <v>室温</v>
      </c>
      <c r="S22" s="1942">
        <f t="shared" si="6"/>
        <v>0.37499999999999994</v>
      </c>
      <c r="T22" s="1942">
        <f t="shared" si="7"/>
        <v>0.6</v>
      </c>
      <c r="U22" s="1942">
        <f t="shared" si="7"/>
        <v>0.49999999999999989</v>
      </c>
      <c r="V22" s="1942">
        <f t="shared" si="7"/>
        <v>0.49999999999999989</v>
      </c>
      <c r="W22" s="1942">
        <f t="shared" si="7"/>
        <v>0.37499999999999994</v>
      </c>
      <c r="X22" s="1942">
        <f t="shared" si="7"/>
        <v>0.37499999999999994</v>
      </c>
      <c r="Y22" s="1942">
        <f t="shared" si="7"/>
        <v>0.625</v>
      </c>
      <c r="Z22" s="1960">
        <f t="shared" si="7"/>
        <v>0.37499999999999994</v>
      </c>
      <c r="AA22" s="1942">
        <f t="shared" si="7"/>
        <v>0.37499999999999994</v>
      </c>
      <c r="AB22" s="1942">
        <f t="shared" si="8"/>
        <v>0.6</v>
      </c>
      <c r="AC22" s="1943">
        <f t="shared" si="8"/>
        <v>0.57142857142857151</v>
      </c>
      <c r="AD22" s="1942">
        <f t="shared" si="8"/>
        <v>0.57142857142857151</v>
      </c>
      <c r="AE22" s="1942">
        <f t="shared" si="8"/>
        <v>0.625</v>
      </c>
      <c r="AG22" s="1940" t="s">
        <v>210</v>
      </c>
      <c r="AH22" s="1944" t="s">
        <v>393</v>
      </c>
      <c r="AI22" s="1945" t="s">
        <v>394</v>
      </c>
      <c r="AJ22" s="1942">
        <v>0.3</v>
      </c>
      <c r="AK22" s="1942">
        <v>0.3</v>
      </c>
      <c r="AL22" s="1942">
        <v>0.3</v>
      </c>
      <c r="AM22" s="1942">
        <v>0.3</v>
      </c>
      <c r="AN22" s="1942">
        <v>0.3</v>
      </c>
      <c r="AO22" s="1942">
        <v>0.3</v>
      </c>
      <c r="AP22" s="1942">
        <v>0.5</v>
      </c>
      <c r="AQ22" s="1960">
        <v>0.3</v>
      </c>
      <c r="AR22" s="1942">
        <v>0.3</v>
      </c>
      <c r="AS22" s="1947">
        <v>0.3</v>
      </c>
      <c r="AT22" s="1948"/>
      <c r="AU22" s="1947"/>
      <c r="AV22" s="1947"/>
      <c r="AX22" s="1940" t="s">
        <v>210</v>
      </c>
      <c r="AY22" s="1944" t="s">
        <v>393</v>
      </c>
      <c r="AZ22" s="1945" t="s">
        <v>738</v>
      </c>
      <c r="BA22" s="1947">
        <v>0.3</v>
      </c>
      <c r="BB22" s="1947">
        <v>0.6</v>
      </c>
      <c r="BC22" s="1947">
        <v>0.3</v>
      </c>
      <c r="BD22" s="1947">
        <v>0.3</v>
      </c>
      <c r="BE22" s="1947">
        <v>0.3</v>
      </c>
      <c r="BF22" s="1947">
        <v>0.3</v>
      </c>
      <c r="BG22" s="1947">
        <v>0.6</v>
      </c>
      <c r="BH22" s="1949">
        <v>0.3</v>
      </c>
      <c r="BI22" s="1947">
        <v>0.3</v>
      </c>
      <c r="BJ22" s="1947">
        <v>0.6</v>
      </c>
      <c r="BK22" s="1948">
        <v>0.6</v>
      </c>
      <c r="BL22" s="1947">
        <v>0.6</v>
      </c>
      <c r="BM22" s="1947">
        <v>0.6</v>
      </c>
      <c r="BO22" s="1940" t="s">
        <v>3672</v>
      </c>
      <c r="BP22" s="1944" t="s">
        <v>393</v>
      </c>
      <c r="BQ22" s="1945" t="s">
        <v>3647</v>
      </c>
      <c r="BR22" s="1947">
        <f>0.3/(0.3+0.2+0.3)</f>
        <v>0.37499999999999994</v>
      </c>
      <c r="BS22" s="1947">
        <f>0.3/(0.3+0.2)</f>
        <v>0.6</v>
      </c>
      <c r="BT22" s="1947">
        <f>0.3/(0.3+0.1+0.2)</f>
        <v>0.49999999999999989</v>
      </c>
      <c r="BU22" s="1947">
        <f>0.3/(0.3+0.1+0.2)</f>
        <v>0.49999999999999989</v>
      </c>
      <c r="BV22" s="1947">
        <f>0.3/(0.3+0.2+0.3)</f>
        <v>0.37499999999999994</v>
      </c>
      <c r="BW22" s="1947">
        <f>0.3/(0.3+0.2+0.3)</f>
        <v>0.37499999999999994</v>
      </c>
      <c r="BX22" s="1947">
        <f>0.5/(0.5+0.3)</f>
        <v>0.625</v>
      </c>
      <c r="BY22" s="1949">
        <f>0.3/(0.3+0.2+0.3)</f>
        <v>0.37499999999999994</v>
      </c>
      <c r="BZ22" s="1947">
        <f>0.3/(0.3+0.2+0.3)</f>
        <v>0.37499999999999994</v>
      </c>
      <c r="CA22" s="1947">
        <f>0.3/(0.3+0.2)</f>
        <v>0.6</v>
      </c>
      <c r="CB22" s="1948">
        <f>0.4/(0.4+0.3)</f>
        <v>0.57142857142857151</v>
      </c>
      <c r="CC22" s="1947">
        <f>0.4/(0.4+0.3)</f>
        <v>0.57142857142857151</v>
      </c>
      <c r="CD22" s="1947">
        <f>0.5/(0.5+0.3)</f>
        <v>0.625</v>
      </c>
      <c r="CE22" s="2302"/>
      <c r="CG22" s="1940" t="s">
        <v>3485</v>
      </c>
      <c r="CH22" s="1944" t="s">
        <v>393</v>
      </c>
      <c r="CI22" s="1945" t="s">
        <v>3486</v>
      </c>
      <c r="CJ22" s="2943">
        <f t="shared" si="10"/>
        <v>0.37499999999999994</v>
      </c>
      <c r="CK22" s="2943">
        <f t="shared" si="10"/>
        <v>0.6</v>
      </c>
      <c r="CL22" s="2943">
        <f t="shared" si="10"/>
        <v>0.49999999999999989</v>
      </c>
      <c r="CM22" s="2943">
        <f t="shared" si="10"/>
        <v>0.49999999999999989</v>
      </c>
      <c r="CN22" s="2943">
        <f t="shared" si="10"/>
        <v>0.37499999999999994</v>
      </c>
      <c r="CO22" s="2943">
        <f t="shared" si="10"/>
        <v>0.37499999999999994</v>
      </c>
      <c r="CP22" s="2943">
        <f t="shared" si="10"/>
        <v>0.625</v>
      </c>
      <c r="CQ22" s="2952">
        <f t="shared" si="10"/>
        <v>0.37499999999999994</v>
      </c>
      <c r="CR22" s="2943">
        <f t="shared" si="10"/>
        <v>0.37499999999999994</v>
      </c>
      <c r="CS22" s="2943">
        <f t="shared" si="10"/>
        <v>0.6</v>
      </c>
      <c r="CT22" s="2947">
        <f t="shared" si="9"/>
        <v>0.57142857142857151</v>
      </c>
      <c r="CU22" s="2943">
        <f t="shared" si="9"/>
        <v>0.57142857142857151</v>
      </c>
      <c r="CV22" s="2943">
        <f t="shared" si="9"/>
        <v>0.625</v>
      </c>
      <c r="CW22" s="2445"/>
      <c r="CX22" s="1940" t="s">
        <v>3485</v>
      </c>
      <c r="CY22" s="1944" t="s">
        <v>393</v>
      </c>
      <c r="CZ22" s="1945" t="s">
        <v>3486</v>
      </c>
      <c r="DA22" s="2945">
        <f t="shared" si="11"/>
        <v>0.37499999999999994</v>
      </c>
      <c r="DB22" s="2945"/>
      <c r="DC22" s="2945"/>
      <c r="DD22" s="2945"/>
      <c r="DE22" s="2945"/>
      <c r="DF22" s="2945"/>
      <c r="DG22" s="2945"/>
      <c r="DH22" s="2953"/>
      <c r="DI22" s="2945"/>
      <c r="DJ22" s="2945"/>
      <c r="DK22" s="2949"/>
      <c r="DL22" s="2945"/>
      <c r="DM22" s="2945"/>
    </row>
    <row r="23" spans="1:117" hidden="1">
      <c r="B23" s="1914" t="str">
        <f t="shared" si="0"/>
        <v>2.1.2</v>
      </c>
      <c r="C23" s="1937">
        <f t="shared" si="1"/>
        <v>0</v>
      </c>
      <c r="D23" s="1927">
        <f t="shared" si="13"/>
        <v>0</v>
      </c>
      <c r="E23" s="1939">
        <f t="shared" si="13"/>
        <v>0</v>
      </c>
      <c r="G23" s="1939">
        <f t="shared" si="2"/>
        <v>0</v>
      </c>
      <c r="H23" s="1939">
        <f t="shared" si="3"/>
        <v>0</v>
      </c>
      <c r="I23" s="1939"/>
      <c r="J23" s="1939"/>
      <c r="K23" s="1939">
        <f>IF(スコア!Q23=0,0,1)</f>
        <v>0</v>
      </c>
      <c r="L23" s="1939">
        <f>IF(スコア!T23=0,0,1)</f>
        <v>0</v>
      </c>
      <c r="M23" s="1939">
        <f t="shared" si="4"/>
        <v>0</v>
      </c>
      <c r="N23" s="1939">
        <f t="shared" si="5"/>
        <v>0</v>
      </c>
      <c r="P23" s="1940" t="str">
        <f t="shared" si="6"/>
        <v>2.1.2</v>
      </c>
      <c r="Q23" s="1940" t="str">
        <f t="shared" si="6"/>
        <v xml:space="preserve"> Q1 2.1</v>
      </c>
      <c r="R23" s="1941">
        <f t="shared" si="6"/>
        <v>0</v>
      </c>
      <c r="S23" s="1961">
        <f t="shared" si="6"/>
        <v>0</v>
      </c>
      <c r="T23" s="1942">
        <f t="shared" si="7"/>
        <v>0</v>
      </c>
      <c r="U23" s="1942">
        <f t="shared" si="7"/>
        <v>0</v>
      </c>
      <c r="V23" s="1942">
        <f t="shared" si="7"/>
        <v>0</v>
      </c>
      <c r="W23" s="1942">
        <f t="shared" si="7"/>
        <v>0</v>
      </c>
      <c r="X23" s="1942">
        <f t="shared" si="7"/>
        <v>0</v>
      </c>
      <c r="Y23" s="1942">
        <f t="shared" si="7"/>
        <v>0</v>
      </c>
      <c r="Z23" s="1960">
        <f t="shared" si="7"/>
        <v>0</v>
      </c>
      <c r="AA23" s="1961">
        <f t="shared" si="7"/>
        <v>0</v>
      </c>
      <c r="AB23" s="1942">
        <f t="shared" si="8"/>
        <v>0</v>
      </c>
      <c r="AC23" s="1943">
        <f t="shared" si="8"/>
        <v>0</v>
      </c>
      <c r="AD23" s="1942">
        <f t="shared" si="8"/>
        <v>0</v>
      </c>
      <c r="AE23" s="1942">
        <f t="shared" si="8"/>
        <v>0</v>
      </c>
      <c r="AG23" s="1940" t="s">
        <v>395</v>
      </c>
      <c r="AH23" s="1944" t="s">
        <v>393</v>
      </c>
      <c r="AI23" s="1945" t="s">
        <v>396</v>
      </c>
      <c r="AJ23" s="1952"/>
      <c r="AK23" s="1952">
        <v>0.2</v>
      </c>
      <c r="AL23" s="1952">
        <v>0.2</v>
      </c>
      <c r="AM23" s="1952">
        <v>0.2</v>
      </c>
      <c r="AN23" s="1952"/>
      <c r="AO23" s="1952"/>
      <c r="AP23" s="1952"/>
      <c r="AQ23" s="1962">
        <v>0.3</v>
      </c>
      <c r="AR23" s="1952"/>
      <c r="AS23" s="1947">
        <v>0.2</v>
      </c>
      <c r="AT23" s="1948"/>
      <c r="AU23" s="1947"/>
      <c r="AV23" s="1947"/>
      <c r="AX23" s="1940" t="s">
        <v>395</v>
      </c>
      <c r="AY23" s="1944" t="s">
        <v>393</v>
      </c>
      <c r="AZ23" s="1945" t="s">
        <v>396</v>
      </c>
      <c r="BA23" s="1963"/>
      <c r="BB23" s="1947"/>
      <c r="BC23" s="1947"/>
      <c r="BD23" s="1947"/>
      <c r="BE23" s="1947"/>
      <c r="BF23" s="1947"/>
      <c r="BG23" s="1947"/>
      <c r="BH23" s="1949"/>
      <c r="BI23" s="1963"/>
      <c r="BJ23" s="1947"/>
      <c r="BK23" s="1948"/>
      <c r="BL23" s="1947"/>
      <c r="BM23" s="1947"/>
      <c r="BO23" s="1940" t="s">
        <v>395</v>
      </c>
      <c r="BP23" s="1944" t="s">
        <v>393</v>
      </c>
      <c r="BQ23" s="1945"/>
      <c r="BR23" s="1963"/>
      <c r="BS23" s="1947"/>
      <c r="BT23" s="1947"/>
      <c r="BU23" s="1947"/>
      <c r="BV23" s="1947"/>
      <c r="BW23" s="1947"/>
      <c r="BX23" s="1947"/>
      <c r="BY23" s="1949"/>
      <c r="BZ23" s="1963"/>
      <c r="CA23" s="1947"/>
      <c r="CB23" s="1948"/>
      <c r="CC23" s="1947"/>
      <c r="CD23" s="1947"/>
      <c r="CE23" s="2302"/>
      <c r="CG23" s="1940" t="s">
        <v>395</v>
      </c>
      <c r="CH23" s="1944" t="s">
        <v>393</v>
      </c>
      <c r="CI23" s="1945"/>
      <c r="CJ23" s="2954">
        <f t="shared" si="10"/>
        <v>0</v>
      </c>
      <c r="CK23" s="2943">
        <f t="shared" si="10"/>
        <v>0</v>
      </c>
      <c r="CL23" s="2943">
        <f t="shared" si="10"/>
        <v>0</v>
      </c>
      <c r="CM23" s="2943">
        <f t="shared" si="10"/>
        <v>0</v>
      </c>
      <c r="CN23" s="2943">
        <f t="shared" si="10"/>
        <v>0</v>
      </c>
      <c r="CO23" s="2943">
        <f t="shared" si="10"/>
        <v>0</v>
      </c>
      <c r="CP23" s="2943">
        <f t="shared" si="10"/>
        <v>0</v>
      </c>
      <c r="CQ23" s="2952">
        <f t="shared" si="10"/>
        <v>0</v>
      </c>
      <c r="CR23" s="2954">
        <f t="shared" si="10"/>
        <v>0</v>
      </c>
      <c r="CS23" s="2943">
        <f t="shared" si="10"/>
        <v>0</v>
      </c>
      <c r="CT23" s="2947">
        <f t="shared" si="9"/>
        <v>0</v>
      </c>
      <c r="CU23" s="2943">
        <f t="shared" si="9"/>
        <v>0</v>
      </c>
      <c r="CV23" s="2943">
        <f t="shared" si="9"/>
        <v>0</v>
      </c>
      <c r="CW23" s="2445"/>
      <c r="CX23" s="1940" t="s">
        <v>395</v>
      </c>
      <c r="CY23" s="1944" t="s">
        <v>393</v>
      </c>
      <c r="CZ23" s="1945"/>
      <c r="DA23" s="2945">
        <f t="shared" si="11"/>
        <v>0</v>
      </c>
      <c r="DB23" s="2945"/>
      <c r="DC23" s="2945"/>
      <c r="DD23" s="2945"/>
      <c r="DE23" s="2945"/>
      <c r="DF23" s="2945"/>
      <c r="DG23" s="2945"/>
      <c r="DH23" s="2953"/>
      <c r="DI23" s="2955"/>
      <c r="DJ23" s="2945"/>
      <c r="DK23" s="2949"/>
      <c r="DL23" s="2945"/>
      <c r="DM23" s="2945"/>
    </row>
    <row r="24" spans="1:117">
      <c r="B24" s="1914" t="str">
        <f t="shared" si="0"/>
        <v>2.1.3</v>
      </c>
      <c r="C24" s="1937" t="str">
        <f t="shared" si="1"/>
        <v>外皮性能</v>
      </c>
      <c r="D24" s="1927">
        <f t="shared" si="13"/>
        <v>0.25196850393700787</v>
      </c>
      <c r="E24" s="1939">
        <f t="shared" si="13"/>
        <v>0.37499999999999994</v>
      </c>
      <c r="G24" s="1939">
        <f t="shared" si="2"/>
        <v>0.25196850393700787</v>
      </c>
      <c r="H24" s="1939">
        <f t="shared" si="3"/>
        <v>5.9055118110236211E-3</v>
      </c>
      <c r="I24" s="1939"/>
      <c r="J24" s="1939"/>
      <c r="K24" s="1939">
        <f>IF(スコア!Q24=0,0,1)</f>
        <v>1</v>
      </c>
      <c r="L24" s="1939">
        <f>IF(スコア!T24=0,0,1)</f>
        <v>1</v>
      </c>
      <c r="M24" s="1939">
        <f t="shared" si="4"/>
        <v>0.25196850393700787</v>
      </c>
      <c r="N24" s="1939">
        <f t="shared" si="5"/>
        <v>5.9055118110236211E-3</v>
      </c>
      <c r="P24" s="1940" t="str">
        <f t="shared" si="6"/>
        <v>2.1.3</v>
      </c>
      <c r="Q24" s="1940" t="str">
        <f t="shared" si="6"/>
        <v xml:space="preserve"> Q1 2.1</v>
      </c>
      <c r="R24" s="1941" t="str">
        <f t="shared" si="6"/>
        <v>外皮性能</v>
      </c>
      <c r="S24" s="1942">
        <f t="shared" si="6"/>
        <v>0.25</v>
      </c>
      <c r="T24" s="1942">
        <f t="shared" si="7"/>
        <v>0.4</v>
      </c>
      <c r="U24" s="1942">
        <f t="shared" si="7"/>
        <v>0.16666666666666666</v>
      </c>
      <c r="V24" s="1942">
        <f t="shared" si="7"/>
        <v>0.16666666666666666</v>
      </c>
      <c r="W24" s="1942">
        <f t="shared" si="7"/>
        <v>0.25</v>
      </c>
      <c r="X24" s="1942">
        <f t="shared" si="7"/>
        <v>0.25</v>
      </c>
      <c r="Y24" s="1942">
        <f t="shared" si="7"/>
        <v>0.37499999999999994</v>
      </c>
      <c r="Z24" s="1960">
        <f t="shared" si="7"/>
        <v>0.25</v>
      </c>
      <c r="AA24" s="1942">
        <f t="shared" si="7"/>
        <v>0.25</v>
      </c>
      <c r="AB24" s="1942">
        <f t="shared" si="8"/>
        <v>0.4</v>
      </c>
      <c r="AC24" s="1943">
        <f t="shared" si="8"/>
        <v>0.4285714285714286</v>
      </c>
      <c r="AD24" s="1942">
        <f t="shared" si="8"/>
        <v>0.4285714285714286</v>
      </c>
      <c r="AE24" s="1942">
        <f t="shared" si="8"/>
        <v>0.37499999999999994</v>
      </c>
      <c r="AG24" s="1940" t="s">
        <v>397</v>
      </c>
      <c r="AH24" s="1944" t="s">
        <v>393</v>
      </c>
      <c r="AI24" s="1945" t="s">
        <v>398</v>
      </c>
      <c r="AJ24" s="1942">
        <v>0.2</v>
      </c>
      <c r="AK24" s="1942">
        <v>0.2</v>
      </c>
      <c r="AL24" s="1942">
        <v>0.1</v>
      </c>
      <c r="AM24" s="1942">
        <v>0.1</v>
      </c>
      <c r="AN24" s="1942">
        <v>0.2</v>
      </c>
      <c r="AO24" s="1942">
        <v>0.2</v>
      </c>
      <c r="AP24" s="1942">
        <v>0.3</v>
      </c>
      <c r="AQ24" s="1960">
        <v>0.1</v>
      </c>
      <c r="AR24" s="1942">
        <v>0.2</v>
      </c>
      <c r="AS24" s="1947">
        <v>0.2</v>
      </c>
      <c r="AT24" s="1948">
        <v>0.5</v>
      </c>
      <c r="AU24" s="1947">
        <v>0.5</v>
      </c>
      <c r="AV24" s="1947">
        <v>0.6</v>
      </c>
      <c r="AX24" s="1940" t="s">
        <v>397</v>
      </c>
      <c r="AY24" s="1944" t="s">
        <v>393</v>
      </c>
      <c r="AZ24" s="1945" t="s">
        <v>398</v>
      </c>
      <c r="BA24" s="1947">
        <v>0.2</v>
      </c>
      <c r="BB24" s="1947">
        <v>0.4</v>
      </c>
      <c r="BC24" s="1947">
        <v>0.2</v>
      </c>
      <c r="BD24" s="1947">
        <v>0.2</v>
      </c>
      <c r="BE24" s="1947">
        <v>0.2</v>
      </c>
      <c r="BF24" s="1947">
        <v>0.2</v>
      </c>
      <c r="BG24" s="1947">
        <v>0.4</v>
      </c>
      <c r="BH24" s="1949">
        <v>0.2</v>
      </c>
      <c r="BI24" s="1947">
        <v>0.2</v>
      </c>
      <c r="BJ24" s="1947">
        <v>0.4</v>
      </c>
      <c r="BK24" s="1948">
        <v>0.4</v>
      </c>
      <c r="BL24" s="1947">
        <v>0.4</v>
      </c>
      <c r="BM24" s="1947">
        <v>0.4</v>
      </c>
      <c r="BO24" s="1940" t="s">
        <v>397</v>
      </c>
      <c r="BP24" s="1944" t="s">
        <v>393</v>
      </c>
      <c r="BQ24" s="1945" t="s">
        <v>398</v>
      </c>
      <c r="BR24" s="1947">
        <f>0.2/(0.3+0.2+0.3)</f>
        <v>0.25</v>
      </c>
      <c r="BS24" s="1947">
        <f>0.2/(0.3+0.2)</f>
        <v>0.4</v>
      </c>
      <c r="BT24" s="1947">
        <f>0.1/(0.3+0.1+0.2)</f>
        <v>0.16666666666666666</v>
      </c>
      <c r="BU24" s="1947">
        <f>0.1/(0.3+0.1+0.2)</f>
        <v>0.16666666666666666</v>
      </c>
      <c r="BV24" s="1947">
        <f>0.2/(0.3+0.2+0.3)</f>
        <v>0.25</v>
      </c>
      <c r="BW24" s="1947">
        <f>0.2/(0.3+0.2+0.3)</f>
        <v>0.25</v>
      </c>
      <c r="BX24" s="1947">
        <f>0.3/(0.5+0.3)</f>
        <v>0.37499999999999994</v>
      </c>
      <c r="BY24" s="1949">
        <f>0.2/(0.3+0.2+0.3)</f>
        <v>0.25</v>
      </c>
      <c r="BZ24" s="1947">
        <f>0.2/(0.3+0.2+0.3)</f>
        <v>0.25</v>
      </c>
      <c r="CA24" s="1947">
        <f>0.2/(0.3+0.2)</f>
        <v>0.4</v>
      </c>
      <c r="CB24" s="1948">
        <f>0.3/(0.4+0.3)</f>
        <v>0.4285714285714286</v>
      </c>
      <c r="CC24" s="1947">
        <f>0.3/(0.4+0.3)</f>
        <v>0.4285714285714286</v>
      </c>
      <c r="CD24" s="1947">
        <f>0.3/(0.5+0.3)</f>
        <v>0.37499999999999994</v>
      </c>
      <c r="CE24" s="2302"/>
      <c r="CG24" s="1940" t="s">
        <v>397</v>
      </c>
      <c r="CH24" s="1944" t="s">
        <v>393</v>
      </c>
      <c r="CI24" s="1945" t="s">
        <v>398</v>
      </c>
      <c r="CJ24" s="2943">
        <f t="shared" si="10"/>
        <v>0.25</v>
      </c>
      <c r="CK24" s="2943">
        <f t="shared" si="10"/>
        <v>0.4</v>
      </c>
      <c r="CL24" s="2943">
        <f t="shared" si="10"/>
        <v>0.16666666666666666</v>
      </c>
      <c r="CM24" s="2943">
        <f t="shared" si="10"/>
        <v>0.16666666666666666</v>
      </c>
      <c r="CN24" s="2943">
        <f t="shared" si="10"/>
        <v>0.25</v>
      </c>
      <c r="CO24" s="2943">
        <f t="shared" si="10"/>
        <v>0.25</v>
      </c>
      <c r="CP24" s="2943">
        <f t="shared" si="10"/>
        <v>0.37499999999999994</v>
      </c>
      <c r="CQ24" s="2952">
        <f t="shared" si="10"/>
        <v>0.25</v>
      </c>
      <c r="CR24" s="2943">
        <f t="shared" si="10"/>
        <v>0.25</v>
      </c>
      <c r="CS24" s="2943">
        <f t="shared" si="10"/>
        <v>0.4</v>
      </c>
      <c r="CT24" s="2947">
        <f t="shared" si="9"/>
        <v>0.4285714285714286</v>
      </c>
      <c r="CU24" s="2943">
        <f t="shared" si="9"/>
        <v>0.4285714285714286</v>
      </c>
      <c r="CV24" s="2943">
        <f t="shared" si="9"/>
        <v>0.37499999999999994</v>
      </c>
      <c r="CW24" s="2445"/>
      <c r="CX24" s="1940" t="s">
        <v>397</v>
      </c>
      <c r="CY24" s="1944" t="s">
        <v>393</v>
      </c>
      <c r="CZ24" s="1945" t="s">
        <v>398</v>
      </c>
      <c r="DA24" s="2945">
        <f t="shared" si="11"/>
        <v>0.25</v>
      </c>
      <c r="DB24" s="2945"/>
      <c r="DC24" s="2945"/>
      <c r="DD24" s="2945"/>
      <c r="DE24" s="2945"/>
      <c r="DF24" s="2945"/>
      <c r="DG24" s="2945"/>
      <c r="DH24" s="2953"/>
      <c r="DI24" s="2945"/>
      <c r="DJ24" s="2945"/>
      <c r="DK24" s="2949"/>
      <c r="DL24" s="2945"/>
      <c r="DM24" s="2945"/>
    </row>
    <row r="25" spans="1:117">
      <c r="B25" s="1914" t="str">
        <f t="shared" si="0"/>
        <v>2.1.4</v>
      </c>
      <c r="C25" s="1937" t="str">
        <f t="shared" si="1"/>
        <v>ゾーン別制御性</v>
      </c>
      <c r="D25" s="1927">
        <f t="shared" si="13"/>
        <v>0.36909448818897633</v>
      </c>
      <c r="E25" s="1939">
        <f t="shared" si="13"/>
        <v>0</v>
      </c>
      <c r="G25" s="1939">
        <f t="shared" si="2"/>
        <v>0.36909448818897633</v>
      </c>
      <c r="H25" s="1939">
        <f t="shared" si="3"/>
        <v>0</v>
      </c>
      <c r="I25" s="1939"/>
      <c r="J25" s="1939"/>
      <c r="K25" s="1939">
        <f>IF(スコア!Q25=0,0,1)</f>
        <v>1</v>
      </c>
      <c r="L25" s="1939">
        <f>IF(スコア!T25=0,0,1)</f>
        <v>0</v>
      </c>
      <c r="M25" s="1939">
        <f t="shared" si="4"/>
        <v>0.36909448818897633</v>
      </c>
      <c r="N25" s="1939">
        <f t="shared" si="5"/>
        <v>0</v>
      </c>
      <c r="P25" s="1940" t="str">
        <f t="shared" si="6"/>
        <v>2.1.4</v>
      </c>
      <c r="Q25" s="1940" t="str">
        <f t="shared" si="6"/>
        <v xml:space="preserve"> Q1 2.1</v>
      </c>
      <c r="R25" s="1941" t="str">
        <f t="shared" si="6"/>
        <v>ゾーン別制御性</v>
      </c>
      <c r="S25" s="1942">
        <f t="shared" si="6"/>
        <v>0.37499999999999994</v>
      </c>
      <c r="T25" s="1942">
        <f t="shared" si="6"/>
        <v>0</v>
      </c>
      <c r="U25" s="1942">
        <f t="shared" si="6"/>
        <v>0.33333333333333331</v>
      </c>
      <c r="V25" s="1942">
        <f t="shared" si="6"/>
        <v>0.33333333333333331</v>
      </c>
      <c r="W25" s="1942">
        <f t="shared" si="6"/>
        <v>0.37499999999999994</v>
      </c>
      <c r="X25" s="1942">
        <f t="shared" si="6"/>
        <v>0.37499999999999994</v>
      </c>
      <c r="Y25" s="1942">
        <f t="shared" si="6"/>
        <v>0</v>
      </c>
      <c r="Z25" s="1960">
        <f t="shared" si="6"/>
        <v>0.37499999999999994</v>
      </c>
      <c r="AA25" s="1942">
        <f t="shared" si="6"/>
        <v>0.37499999999999994</v>
      </c>
      <c r="AB25" s="1942">
        <f t="shared" si="8"/>
        <v>0</v>
      </c>
      <c r="AC25" s="1943">
        <f t="shared" si="8"/>
        <v>0</v>
      </c>
      <c r="AD25" s="1942">
        <f t="shared" si="8"/>
        <v>0</v>
      </c>
      <c r="AE25" s="1942">
        <f t="shared" si="8"/>
        <v>0</v>
      </c>
      <c r="AG25" s="1940" t="s">
        <v>2072</v>
      </c>
      <c r="AH25" s="1944" t="s">
        <v>393</v>
      </c>
      <c r="AI25" s="1945" t="s">
        <v>2073</v>
      </c>
      <c r="AJ25" s="1942">
        <v>0.3</v>
      </c>
      <c r="AK25" s="1942"/>
      <c r="AL25" s="1942">
        <v>0.2</v>
      </c>
      <c r="AM25" s="1942">
        <v>0.2</v>
      </c>
      <c r="AN25" s="1942">
        <v>0.3</v>
      </c>
      <c r="AO25" s="1942">
        <v>0.3</v>
      </c>
      <c r="AP25" s="1942"/>
      <c r="AQ25" s="1960">
        <v>0.2</v>
      </c>
      <c r="AR25" s="1942">
        <v>0.3</v>
      </c>
      <c r="AS25" s="1947">
        <v>0</v>
      </c>
      <c r="AT25" s="1948"/>
      <c r="AU25" s="1947"/>
      <c r="AV25" s="1947"/>
      <c r="AX25" s="1940" t="s">
        <v>2072</v>
      </c>
      <c r="AY25" s="1944" t="s">
        <v>393</v>
      </c>
      <c r="AZ25" s="1945" t="s">
        <v>2073</v>
      </c>
      <c r="BA25" s="1947">
        <v>0.5</v>
      </c>
      <c r="BB25" s="1947"/>
      <c r="BC25" s="1947">
        <v>0.5</v>
      </c>
      <c r="BD25" s="1947">
        <v>0.5</v>
      </c>
      <c r="BE25" s="1947">
        <v>0.5</v>
      </c>
      <c r="BF25" s="1947">
        <v>0.5</v>
      </c>
      <c r="BG25" s="1947"/>
      <c r="BH25" s="1949">
        <v>0.5</v>
      </c>
      <c r="BI25" s="1947">
        <v>0.5</v>
      </c>
      <c r="BJ25" s="1947"/>
      <c r="BK25" s="1948"/>
      <c r="BL25" s="1947"/>
      <c r="BM25" s="1947"/>
      <c r="BO25" s="1940" t="s">
        <v>2072</v>
      </c>
      <c r="BP25" s="1944" t="s">
        <v>393</v>
      </c>
      <c r="BQ25" s="1945" t="s">
        <v>2073</v>
      </c>
      <c r="BR25" s="1947">
        <f>0.3/(0.3+0.2+0.3)</f>
        <v>0.37499999999999994</v>
      </c>
      <c r="BS25" s="1947"/>
      <c r="BT25" s="1947">
        <f>0.2/(0.3+0.1+0.2)</f>
        <v>0.33333333333333331</v>
      </c>
      <c r="BU25" s="1947">
        <f>0.2/(0.3+0.1+0.2)</f>
        <v>0.33333333333333331</v>
      </c>
      <c r="BV25" s="1947">
        <f>0.3/(0.3+0.2+0.3)</f>
        <v>0.37499999999999994</v>
      </c>
      <c r="BW25" s="1947">
        <f>0.3/(0.3+0.2+0.3)</f>
        <v>0.37499999999999994</v>
      </c>
      <c r="BX25" s="1947"/>
      <c r="BY25" s="1949">
        <f>0.3/(0.3+0.2+0.3)</f>
        <v>0.37499999999999994</v>
      </c>
      <c r="BZ25" s="1947">
        <f>0.3/(0.3+0.2+0.3)</f>
        <v>0.37499999999999994</v>
      </c>
      <c r="CA25" s="1947"/>
      <c r="CB25" s="1948"/>
      <c r="CC25" s="1947"/>
      <c r="CD25" s="1947"/>
      <c r="CE25" s="2302"/>
      <c r="CG25" s="1940" t="s">
        <v>2072</v>
      </c>
      <c r="CH25" s="1944" t="s">
        <v>393</v>
      </c>
      <c r="CI25" s="1945" t="s">
        <v>2073</v>
      </c>
      <c r="CJ25" s="2943">
        <f t="shared" si="10"/>
        <v>0.37499999999999994</v>
      </c>
      <c r="CK25" s="2943">
        <f t="shared" si="10"/>
        <v>0</v>
      </c>
      <c r="CL25" s="2943">
        <f t="shared" si="10"/>
        <v>0.33333333333333331</v>
      </c>
      <c r="CM25" s="2943">
        <f t="shared" si="10"/>
        <v>0.33333333333333331</v>
      </c>
      <c r="CN25" s="2943">
        <f t="shared" si="10"/>
        <v>0.37499999999999994</v>
      </c>
      <c r="CO25" s="2943">
        <f t="shared" si="10"/>
        <v>0.37499999999999994</v>
      </c>
      <c r="CP25" s="2943">
        <f t="shared" si="10"/>
        <v>0</v>
      </c>
      <c r="CQ25" s="2952">
        <f t="shared" si="10"/>
        <v>0.37499999999999994</v>
      </c>
      <c r="CR25" s="2943">
        <f t="shared" si="10"/>
        <v>0.37499999999999994</v>
      </c>
      <c r="CS25" s="2943">
        <f t="shared" si="10"/>
        <v>0</v>
      </c>
      <c r="CT25" s="2947">
        <f t="shared" si="9"/>
        <v>0</v>
      </c>
      <c r="CU25" s="2943">
        <f t="shared" si="9"/>
        <v>0</v>
      </c>
      <c r="CV25" s="2943">
        <f t="shared" si="9"/>
        <v>0</v>
      </c>
      <c r="CW25" s="2445"/>
      <c r="CX25" s="1940" t="s">
        <v>2072</v>
      </c>
      <c r="CY25" s="1944" t="s">
        <v>393</v>
      </c>
      <c r="CZ25" s="1945" t="s">
        <v>2073</v>
      </c>
      <c r="DA25" s="2945">
        <f t="shared" si="11"/>
        <v>0.37499999999999994</v>
      </c>
      <c r="DB25" s="2945"/>
      <c r="DC25" s="2945"/>
      <c r="DD25" s="2945"/>
      <c r="DE25" s="2945"/>
      <c r="DF25" s="2945"/>
      <c r="DG25" s="2945"/>
      <c r="DH25" s="2953"/>
      <c r="DI25" s="2945"/>
      <c r="DJ25" s="2945"/>
      <c r="DK25" s="2949"/>
      <c r="DL25" s="2945"/>
      <c r="DM25" s="2945"/>
    </row>
    <row r="26" spans="1:117" hidden="1">
      <c r="B26" s="1914" t="str">
        <f t="shared" si="0"/>
        <v>2.1.5</v>
      </c>
      <c r="C26" s="1937">
        <f t="shared" si="1"/>
        <v>0</v>
      </c>
      <c r="D26" s="1927">
        <f t="shared" si="13"/>
        <v>0</v>
      </c>
      <c r="E26" s="1939">
        <f t="shared" si="13"/>
        <v>0</v>
      </c>
      <c r="G26" s="1939">
        <f t="shared" si="2"/>
        <v>0</v>
      </c>
      <c r="H26" s="1939">
        <f t="shared" si="3"/>
        <v>0</v>
      </c>
      <c r="I26" s="1939"/>
      <c r="J26" s="1939"/>
      <c r="K26" s="1939">
        <f>IF(スコア!Q26=0,0,1)</f>
        <v>0</v>
      </c>
      <c r="L26" s="1939">
        <f>IF(スコア!T26=0,0,1)</f>
        <v>0</v>
      </c>
      <c r="M26" s="1939">
        <f t="shared" si="4"/>
        <v>0</v>
      </c>
      <c r="N26" s="1939">
        <f t="shared" si="5"/>
        <v>0</v>
      </c>
      <c r="P26" s="1940" t="str">
        <f t="shared" si="6"/>
        <v>2.1.5</v>
      </c>
      <c r="Q26" s="1940" t="str">
        <f t="shared" si="6"/>
        <v xml:space="preserve"> Q1 2.1</v>
      </c>
      <c r="R26" s="1941">
        <f t="shared" si="6"/>
        <v>0</v>
      </c>
      <c r="S26" s="1942">
        <f t="shared" si="6"/>
        <v>0</v>
      </c>
      <c r="T26" s="1942">
        <f t="shared" si="6"/>
        <v>0</v>
      </c>
      <c r="U26" s="1942">
        <f t="shared" si="6"/>
        <v>0</v>
      </c>
      <c r="V26" s="1942">
        <f t="shared" si="6"/>
        <v>0</v>
      </c>
      <c r="W26" s="1942">
        <f t="shared" si="6"/>
        <v>0</v>
      </c>
      <c r="X26" s="1942">
        <f t="shared" si="6"/>
        <v>0</v>
      </c>
      <c r="Y26" s="1942">
        <f t="shared" si="6"/>
        <v>0</v>
      </c>
      <c r="Z26" s="1960">
        <f t="shared" si="6"/>
        <v>0</v>
      </c>
      <c r="AA26" s="1942">
        <f t="shared" si="6"/>
        <v>0</v>
      </c>
      <c r="AB26" s="1942">
        <f t="shared" si="8"/>
        <v>0</v>
      </c>
      <c r="AC26" s="1943">
        <f t="shared" si="8"/>
        <v>0</v>
      </c>
      <c r="AD26" s="1942">
        <f t="shared" si="8"/>
        <v>0</v>
      </c>
      <c r="AE26" s="1942">
        <f t="shared" si="8"/>
        <v>0</v>
      </c>
      <c r="AG26" s="1940" t="s">
        <v>2074</v>
      </c>
      <c r="AH26" s="1944" t="s">
        <v>393</v>
      </c>
      <c r="AI26" s="1945" t="s">
        <v>2075</v>
      </c>
      <c r="AJ26" s="1952">
        <v>0.1</v>
      </c>
      <c r="AK26" s="1952">
        <v>0.1</v>
      </c>
      <c r="AL26" s="1952">
        <v>0.1</v>
      </c>
      <c r="AM26" s="1952">
        <v>0.1</v>
      </c>
      <c r="AN26" s="1952">
        <v>0.1</v>
      </c>
      <c r="AO26" s="1952">
        <v>0.1</v>
      </c>
      <c r="AP26" s="1952">
        <v>0.2</v>
      </c>
      <c r="AQ26" s="1962">
        <v>0.1</v>
      </c>
      <c r="AR26" s="1952">
        <v>0.1</v>
      </c>
      <c r="AS26" s="1947">
        <v>0.1</v>
      </c>
      <c r="AT26" s="1948">
        <v>0.3</v>
      </c>
      <c r="AU26" s="1947">
        <v>0.3</v>
      </c>
      <c r="AV26" s="1947"/>
      <c r="AX26" s="1940" t="s">
        <v>2074</v>
      </c>
      <c r="AY26" s="1944" t="s">
        <v>393</v>
      </c>
      <c r="AZ26" s="1945" t="s">
        <v>2075</v>
      </c>
      <c r="BA26" s="1947"/>
      <c r="BB26" s="1947"/>
      <c r="BC26" s="1947"/>
      <c r="BD26" s="1947"/>
      <c r="BE26" s="1947"/>
      <c r="BF26" s="1947"/>
      <c r="BG26" s="1947"/>
      <c r="BH26" s="1949"/>
      <c r="BI26" s="1947"/>
      <c r="BJ26" s="1947"/>
      <c r="BK26" s="1948"/>
      <c r="BL26" s="1947"/>
      <c r="BM26" s="1947"/>
      <c r="BO26" s="1940" t="s">
        <v>2074</v>
      </c>
      <c r="BP26" s="1944" t="s">
        <v>393</v>
      </c>
      <c r="BQ26" s="1945"/>
      <c r="BR26" s="1947"/>
      <c r="BS26" s="1947"/>
      <c r="BT26" s="1947"/>
      <c r="BU26" s="1947"/>
      <c r="BV26" s="1947"/>
      <c r="BW26" s="1947"/>
      <c r="BX26" s="1947"/>
      <c r="BY26" s="1949"/>
      <c r="BZ26" s="1947"/>
      <c r="CA26" s="1947"/>
      <c r="CB26" s="1948"/>
      <c r="CC26" s="1947"/>
      <c r="CD26" s="1947"/>
      <c r="CE26" s="2302"/>
      <c r="CG26" s="1940" t="s">
        <v>2074</v>
      </c>
      <c r="CH26" s="1944" t="s">
        <v>393</v>
      </c>
      <c r="CI26" s="1945"/>
      <c r="CJ26" s="2943">
        <f t="shared" si="10"/>
        <v>0</v>
      </c>
      <c r="CK26" s="2943">
        <f t="shared" si="10"/>
        <v>0</v>
      </c>
      <c r="CL26" s="2943">
        <f t="shared" si="10"/>
        <v>0</v>
      </c>
      <c r="CM26" s="2943">
        <f t="shared" si="10"/>
        <v>0</v>
      </c>
      <c r="CN26" s="2943">
        <f t="shared" si="10"/>
        <v>0</v>
      </c>
      <c r="CO26" s="2943">
        <f t="shared" si="10"/>
        <v>0</v>
      </c>
      <c r="CP26" s="2943">
        <f t="shared" si="10"/>
        <v>0</v>
      </c>
      <c r="CQ26" s="2952">
        <f t="shared" si="10"/>
        <v>0</v>
      </c>
      <c r="CR26" s="2943">
        <f t="shared" si="10"/>
        <v>0</v>
      </c>
      <c r="CS26" s="2943">
        <f t="shared" si="10"/>
        <v>0</v>
      </c>
      <c r="CT26" s="2947">
        <f t="shared" si="9"/>
        <v>0</v>
      </c>
      <c r="CU26" s="2943">
        <f t="shared" si="9"/>
        <v>0</v>
      </c>
      <c r="CV26" s="2943">
        <f t="shared" si="9"/>
        <v>0</v>
      </c>
      <c r="CW26" s="2445"/>
      <c r="CX26" s="1940" t="s">
        <v>2074</v>
      </c>
      <c r="CY26" s="1944" t="s">
        <v>393</v>
      </c>
      <c r="CZ26" s="1945"/>
      <c r="DA26" s="2945">
        <f t="shared" si="11"/>
        <v>0</v>
      </c>
      <c r="DB26" s="2945"/>
      <c r="DC26" s="2945"/>
      <c r="DD26" s="2945"/>
      <c r="DE26" s="2945"/>
      <c r="DF26" s="2945"/>
      <c r="DG26" s="2945"/>
      <c r="DH26" s="2953"/>
      <c r="DI26" s="2945"/>
      <c r="DJ26" s="2945"/>
      <c r="DK26" s="2949"/>
      <c r="DL26" s="2945"/>
      <c r="DM26" s="2945"/>
    </row>
    <row r="27" spans="1:117" hidden="1">
      <c r="B27" s="1914" t="str">
        <f t="shared" si="0"/>
        <v>2.1.6</v>
      </c>
      <c r="C27" s="1937">
        <f t="shared" si="1"/>
        <v>0</v>
      </c>
      <c r="D27" s="1927">
        <f t="shared" si="13"/>
        <v>0</v>
      </c>
      <c r="E27" s="1939">
        <f t="shared" si="13"/>
        <v>0</v>
      </c>
      <c r="G27" s="1939">
        <f t="shared" si="2"/>
        <v>0</v>
      </c>
      <c r="H27" s="1939">
        <f t="shared" si="3"/>
        <v>0</v>
      </c>
      <c r="I27" s="1939"/>
      <c r="J27" s="1939"/>
      <c r="K27" s="1939">
        <f>IF(スコア!Q27=0,0,1)</f>
        <v>0</v>
      </c>
      <c r="L27" s="1939">
        <f>IF(スコア!T27=0,0,1)</f>
        <v>0</v>
      </c>
      <c r="M27" s="1939">
        <f t="shared" si="4"/>
        <v>0</v>
      </c>
      <c r="N27" s="1939">
        <f t="shared" si="5"/>
        <v>0</v>
      </c>
      <c r="P27" s="1940" t="str">
        <f t="shared" si="6"/>
        <v>2.1.6</v>
      </c>
      <c r="Q27" s="1940" t="str">
        <f t="shared" si="6"/>
        <v xml:space="preserve"> Q1 2.1</v>
      </c>
      <c r="R27" s="1941">
        <f t="shared" si="6"/>
        <v>0</v>
      </c>
      <c r="S27" s="1942">
        <f t="shared" si="6"/>
        <v>0</v>
      </c>
      <c r="T27" s="1942">
        <f t="shared" si="6"/>
        <v>0</v>
      </c>
      <c r="U27" s="1942">
        <f t="shared" si="6"/>
        <v>0</v>
      </c>
      <c r="V27" s="1942">
        <f t="shared" si="6"/>
        <v>0</v>
      </c>
      <c r="W27" s="1942">
        <f t="shared" si="6"/>
        <v>0</v>
      </c>
      <c r="X27" s="1942">
        <f t="shared" si="6"/>
        <v>0</v>
      </c>
      <c r="Y27" s="1942">
        <f t="shared" si="6"/>
        <v>0</v>
      </c>
      <c r="Z27" s="1960">
        <f t="shared" si="6"/>
        <v>0</v>
      </c>
      <c r="AA27" s="1942">
        <f t="shared" si="6"/>
        <v>0</v>
      </c>
      <c r="AB27" s="1942">
        <f t="shared" si="8"/>
        <v>0</v>
      </c>
      <c r="AC27" s="1943">
        <f t="shared" si="8"/>
        <v>0</v>
      </c>
      <c r="AD27" s="1942">
        <f t="shared" si="8"/>
        <v>0</v>
      </c>
      <c r="AE27" s="1942">
        <f t="shared" si="8"/>
        <v>0</v>
      </c>
      <c r="AG27" s="1940" t="s">
        <v>2076</v>
      </c>
      <c r="AH27" s="1944" t="s">
        <v>393</v>
      </c>
      <c r="AI27" s="1945" t="s">
        <v>2077</v>
      </c>
      <c r="AJ27" s="1952"/>
      <c r="AK27" s="1952"/>
      <c r="AL27" s="1952"/>
      <c r="AM27" s="1952"/>
      <c r="AN27" s="1952"/>
      <c r="AO27" s="1952"/>
      <c r="AP27" s="1952"/>
      <c r="AQ27" s="1962"/>
      <c r="AR27" s="1952"/>
      <c r="AS27" s="1947">
        <v>0</v>
      </c>
      <c r="AT27" s="1948">
        <v>0.2</v>
      </c>
      <c r="AU27" s="1947">
        <v>0.2</v>
      </c>
      <c r="AV27" s="1947">
        <v>0.4</v>
      </c>
      <c r="AX27" s="1940" t="s">
        <v>2076</v>
      </c>
      <c r="AY27" s="1944" t="s">
        <v>393</v>
      </c>
      <c r="AZ27" s="1945" t="s">
        <v>2077</v>
      </c>
      <c r="BA27" s="1947"/>
      <c r="BB27" s="1947"/>
      <c r="BC27" s="1947"/>
      <c r="BD27" s="1947"/>
      <c r="BE27" s="1947"/>
      <c r="BF27" s="1947"/>
      <c r="BG27" s="1947"/>
      <c r="BH27" s="1949"/>
      <c r="BI27" s="1947"/>
      <c r="BJ27" s="1947"/>
      <c r="BK27" s="1948"/>
      <c r="BL27" s="1947"/>
      <c r="BM27" s="1947"/>
      <c r="BO27" s="1940" t="s">
        <v>2076</v>
      </c>
      <c r="BP27" s="1944" t="s">
        <v>393</v>
      </c>
      <c r="BQ27" s="1945"/>
      <c r="BR27" s="1947"/>
      <c r="BS27" s="1947"/>
      <c r="BT27" s="1947"/>
      <c r="BU27" s="1947"/>
      <c r="BV27" s="1947"/>
      <c r="BW27" s="1947"/>
      <c r="BX27" s="1947"/>
      <c r="BY27" s="1949"/>
      <c r="BZ27" s="1947"/>
      <c r="CA27" s="1947"/>
      <c r="CB27" s="1948"/>
      <c r="CC27" s="1947"/>
      <c r="CD27" s="1947"/>
      <c r="CE27" s="2302"/>
      <c r="CG27" s="1940" t="s">
        <v>2076</v>
      </c>
      <c r="CH27" s="1944" t="s">
        <v>393</v>
      </c>
      <c r="CI27" s="1945"/>
      <c r="CJ27" s="2943">
        <f t="shared" si="10"/>
        <v>0</v>
      </c>
      <c r="CK27" s="2943">
        <f t="shared" si="10"/>
        <v>0</v>
      </c>
      <c r="CL27" s="2943">
        <f t="shared" si="10"/>
        <v>0</v>
      </c>
      <c r="CM27" s="2943">
        <f t="shared" si="10"/>
        <v>0</v>
      </c>
      <c r="CN27" s="2943">
        <f t="shared" si="10"/>
        <v>0</v>
      </c>
      <c r="CO27" s="2943">
        <f t="shared" si="10"/>
        <v>0</v>
      </c>
      <c r="CP27" s="2943">
        <f t="shared" si="10"/>
        <v>0</v>
      </c>
      <c r="CQ27" s="2952">
        <f t="shared" si="10"/>
        <v>0</v>
      </c>
      <c r="CR27" s="2943">
        <f t="shared" si="10"/>
        <v>0</v>
      </c>
      <c r="CS27" s="2943">
        <f t="shared" si="10"/>
        <v>0</v>
      </c>
      <c r="CT27" s="2947">
        <f t="shared" si="9"/>
        <v>0</v>
      </c>
      <c r="CU27" s="2943">
        <f t="shared" si="9"/>
        <v>0</v>
      </c>
      <c r="CV27" s="2943">
        <f t="shared" si="9"/>
        <v>0</v>
      </c>
      <c r="CW27" s="2445"/>
      <c r="CX27" s="1940" t="s">
        <v>2076</v>
      </c>
      <c r="CY27" s="1944" t="s">
        <v>393</v>
      </c>
      <c r="CZ27" s="1945"/>
      <c r="DA27" s="2945">
        <f t="shared" si="11"/>
        <v>0</v>
      </c>
      <c r="DB27" s="2945"/>
      <c r="DC27" s="2945"/>
      <c r="DD27" s="2945"/>
      <c r="DE27" s="2945"/>
      <c r="DF27" s="2945"/>
      <c r="DG27" s="2945"/>
      <c r="DH27" s="2953"/>
      <c r="DI27" s="2945"/>
      <c r="DJ27" s="2945"/>
      <c r="DK27" s="2949"/>
      <c r="DL27" s="2945"/>
      <c r="DM27" s="2945"/>
    </row>
    <row r="28" spans="1:117" hidden="1">
      <c r="B28" s="1914" t="str">
        <f t="shared" si="0"/>
        <v>2.1.7</v>
      </c>
      <c r="C28" s="1937">
        <f t="shared" si="1"/>
        <v>0</v>
      </c>
      <c r="D28" s="1927">
        <f t="shared" si="13"/>
        <v>0</v>
      </c>
      <c r="E28" s="1939">
        <f t="shared" si="13"/>
        <v>0</v>
      </c>
      <c r="G28" s="1939">
        <f t="shared" si="2"/>
        <v>0</v>
      </c>
      <c r="H28" s="1939">
        <f t="shared" si="3"/>
        <v>0</v>
      </c>
      <c r="I28" s="1939"/>
      <c r="J28" s="1939"/>
      <c r="K28" s="1939">
        <f>IF(スコア!Q28=0,0,1)</f>
        <v>0</v>
      </c>
      <c r="L28" s="1939">
        <f>IF(スコア!T28=0,0,1)</f>
        <v>0</v>
      </c>
      <c r="M28" s="1939">
        <f t="shared" si="4"/>
        <v>0</v>
      </c>
      <c r="N28" s="1939">
        <f t="shared" si="5"/>
        <v>0</v>
      </c>
      <c r="P28" s="1940" t="str">
        <f t="shared" si="6"/>
        <v>2.1.7</v>
      </c>
      <c r="Q28" s="1940" t="str">
        <f t="shared" si="6"/>
        <v xml:space="preserve"> Q1 2.1</v>
      </c>
      <c r="R28" s="1941">
        <f t="shared" si="6"/>
        <v>0</v>
      </c>
      <c r="S28" s="1942">
        <f t="shared" si="6"/>
        <v>0</v>
      </c>
      <c r="T28" s="1942">
        <f t="shared" si="6"/>
        <v>0</v>
      </c>
      <c r="U28" s="1942">
        <f t="shared" si="6"/>
        <v>0</v>
      </c>
      <c r="V28" s="1942">
        <f t="shared" si="6"/>
        <v>0</v>
      </c>
      <c r="W28" s="1942">
        <f t="shared" si="6"/>
        <v>0</v>
      </c>
      <c r="X28" s="1942">
        <f t="shared" si="6"/>
        <v>0</v>
      </c>
      <c r="Y28" s="1942">
        <f t="shared" si="6"/>
        <v>0</v>
      </c>
      <c r="Z28" s="1960">
        <f t="shared" si="6"/>
        <v>0</v>
      </c>
      <c r="AA28" s="1942">
        <f t="shared" si="6"/>
        <v>0</v>
      </c>
      <c r="AB28" s="1942">
        <f t="shared" si="8"/>
        <v>0</v>
      </c>
      <c r="AC28" s="1943">
        <f t="shared" si="8"/>
        <v>0</v>
      </c>
      <c r="AD28" s="1942">
        <f t="shared" si="8"/>
        <v>0</v>
      </c>
      <c r="AE28" s="1942">
        <f t="shared" si="8"/>
        <v>0</v>
      </c>
      <c r="AG28" s="1940" t="s">
        <v>2078</v>
      </c>
      <c r="AH28" s="1944" t="s">
        <v>393</v>
      </c>
      <c r="AI28" s="1945" t="s">
        <v>2079</v>
      </c>
      <c r="AJ28" s="1952">
        <v>0.1</v>
      </c>
      <c r="AK28" s="1952">
        <v>0.2</v>
      </c>
      <c r="AL28" s="1952"/>
      <c r="AM28" s="1952"/>
      <c r="AN28" s="1952">
        <v>0.1</v>
      </c>
      <c r="AO28" s="1952">
        <v>0.1</v>
      </c>
      <c r="AP28" s="1952"/>
      <c r="AQ28" s="1962"/>
      <c r="AR28" s="1952">
        <v>0.1</v>
      </c>
      <c r="AS28" s="1947">
        <v>0.2</v>
      </c>
      <c r="AT28" s="1948"/>
      <c r="AU28" s="1947"/>
      <c r="AV28" s="1947"/>
      <c r="AX28" s="1940" t="s">
        <v>2078</v>
      </c>
      <c r="AY28" s="1944" t="s">
        <v>393</v>
      </c>
      <c r="AZ28" s="1945" t="s">
        <v>2079</v>
      </c>
      <c r="BA28" s="1947"/>
      <c r="BB28" s="1947"/>
      <c r="BC28" s="1947"/>
      <c r="BD28" s="1947"/>
      <c r="BE28" s="1947"/>
      <c r="BF28" s="1947"/>
      <c r="BG28" s="1947"/>
      <c r="BH28" s="1949"/>
      <c r="BI28" s="1947"/>
      <c r="BJ28" s="1947"/>
      <c r="BK28" s="1948"/>
      <c r="BL28" s="1947"/>
      <c r="BM28" s="1947"/>
      <c r="BO28" s="1940" t="s">
        <v>2078</v>
      </c>
      <c r="BP28" s="1944" t="s">
        <v>393</v>
      </c>
      <c r="BQ28" s="1945"/>
      <c r="BR28" s="1947"/>
      <c r="BS28" s="1947"/>
      <c r="BT28" s="1947"/>
      <c r="BU28" s="1947"/>
      <c r="BV28" s="1947"/>
      <c r="BW28" s="1947"/>
      <c r="BX28" s="1947"/>
      <c r="BY28" s="1949"/>
      <c r="BZ28" s="1947"/>
      <c r="CA28" s="1947"/>
      <c r="CB28" s="1948"/>
      <c r="CC28" s="1947"/>
      <c r="CD28" s="1947"/>
      <c r="CE28" s="2302"/>
      <c r="CG28" s="1940" t="s">
        <v>2078</v>
      </c>
      <c r="CH28" s="1944" t="s">
        <v>393</v>
      </c>
      <c r="CI28" s="1945"/>
      <c r="CJ28" s="2943">
        <f t="shared" si="10"/>
        <v>0</v>
      </c>
      <c r="CK28" s="2943">
        <f t="shared" si="10"/>
        <v>0</v>
      </c>
      <c r="CL28" s="2943">
        <f t="shared" si="10"/>
        <v>0</v>
      </c>
      <c r="CM28" s="2943">
        <f t="shared" si="10"/>
        <v>0</v>
      </c>
      <c r="CN28" s="2943">
        <f t="shared" si="10"/>
        <v>0</v>
      </c>
      <c r="CO28" s="2943">
        <f t="shared" si="10"/>
        <v>0</v>
      </c>
      <c r="CP28" s="2943">
        <f t="shared" si="10"/>
        <v>0</v>
      </c>
      <c r="CQ28" s="2952">
        <f t="shared" si="10"/>
        <v>0</v>
      </c>
      <c r="CR28" s="2943">
        <f t="shared" si="10"/>
        <v>0</v>
      </c>
      <c r="CS28" s="2943">
        <f t="shared" si="10"/>
        <v>0</v>
      </c>
      <c r="CT28" s="2947">
        <f t="shared" si="9"/>
        <v>0</v>
      </c>
      <c r="CU28" s="2943">
        <f t="shared" si="9"/>
        <v>0</v>
      </c>
      <c r="CV28" s="2943">
        <f t="shared" si="9"/>
        <v>0</v>
      </c>
      <c r="CW28" s="2445"/>
      <c r="CX28" s="1940" t="s">
        <v>2078</v>
      </c>
      <c r="CY28" s="1944" t="s">
        <v>393</v>
      </c>
      <c r="CZ28" s="1945"/>
      <c r="DA28" s="2945">
        <f t="shared" si="11"/>
        <v>0</v>
      </c>
      <c r="DB28" s="2945"/>
      <c r="DC28" s="2945"/>
      <c r="DD28" s="2945"/>
      <c r="DE28" s="2945"/>
      <c r="DF28" s="2945"/>
      <c r="DG28" s="2945"/>
      <c r="DH28" s="2953"/>
      <c r="DI28" s="2945"/>
      <c r="DJ28" s="2945"/>
      <c r="DK28" s="2949"/>
      <c r="DL28" s="2945"/>
      <c r="DM28" s="2945"/>
    </row>
    <row r="29" spans="1:117" hidden="1">
      <c r="B29" s="1914" t="str">
        <f t="shared" si="0"/>
        <v>2.1.8</v>
      </c>
      <c r="C29" s="1937">
        <f t="shared" si="1"/>
        <v>0</v>
      </c>
      <c r="D29" s="1927">
        <f t="shared" si="13"/>
        <v>0</v>
      </c>
      <c r="E29" s="1939">
        <f t="shared" si="13"/>
        <v>0</v>
      </c>
      <c r="G29" s="1939">
        <f t="shared" si="2"/>
        <v>0</v>
      </c>
      <c r="H29" s="1939">
        <f t="shared" si="3"/>
        <v>0</v>
      </c>
      <c r="I29" s="1939"/>
      <c r="J29" s="1939"/>
      <c r="K29" s="1939">
        <f>IF(スコア!Q29=0,0,1)</f>
        <v>0</v>
      </c>
      <c r="L29" s="1939">
        <f>IF(スコア!T29=0,0,1)</f>
        <v>0</v>
      </c>
      <c r="M29" s="1939">
        <f t="shared" si="4"/>
        <v>0</v>
      </c>
      <c r="N29" s="1939">
        <f t="shared" si="5"/>
        <v>0</v>
      </c>
      <c r="P29" s="1940" t="str">
        <f t="shared" si="6"/>
        <v>2.1.8</v>
      </c>
      <c r="Q29" s="1940" t="str">
        <f t="shared" si="6"/>
        <v xml:space="preserve"> Q1 2.1</v>
      </c>
      <c r="R29" s="1941">
        <f t="shared" si="6"/>
        <v>0</v>
      </c>
      <c r="S29" s="1942">
        <f t="shared" si="6"/>
        <v>0</v>
      </c>
      <c r="T29" s="1942">
        <f t="shared" si="6"/>
        <v>0</v>
      </c>
      <c r="U29" s="1942">
        <f t="shared" si="6"/>
        <v>0</v>
      </c>
      <c r="V29" s="1942">
        <f t="shared" si="6"/>
        <v>0</v>
      </c>
      <c r="W29" s="1942">
        <f t="shared" si="6"/>
        <v>0</v>
      </c>
      <c r="X29" s="1942">
        <f t="shared" si="6"/>
        <v>0</v>
      </c>
      <c r="Y29" s="1942">
        <f t="shared" si="6"/>
        <v>0</v>
      </c>
      <c r="Z29" s="1960">
        <f t="shared" si="6"/>
        <v>0</v>
      </c>
      <c r="AA29" s="1942">
        <f t="shared" si="6"/>
        <v>0</v>
      </c>
      <c r="AB29" s="1942">
        <f t="shared" si="8"/>
        <v>0</v>
      </c>
      <c r="AC29" s="1943">
        <f t="shared" si="8"/>
        <v>0</v>
      </c>
      <c r="AD29" s="1942">
        <f t="shared" si="8"/>
        <v>0</v>
      </c>
      <c r="AE29" s="1942">
        <f t="shared" si="8"/>
        <v>0</v>
      </c>
      <c r="AG29" s="1940" t="s">
        <v>2080</v>
      </c>
      <c r="AH29" s="1944" t="s">
        <v>393</v>
      </c>
      <c r="AI29" s="1945" t="s">
        <v>2081</v>
      </c>
      <c r="AJ29" s="1952"/>
      <c r="AK29" s="1952"/>
      <c r="AL29" s="1952">
        <v>0.1</v>
      </c>
      <c r="AM29" s="1952">
        <v>0.1</v>
      </c>
      <c r="AN29" s="1952"/>
      <c r="AO29" s="1952"/>
      <c r="AP29" s="1952"/>
      <c r="AQ29" s="1962"/>
      <c r="AR29" s="1952"/>
      <c r="AS29" s="1947">
        <v>0</v>
      </c>
      <c r="AT29" s="1948"/>
      <c r="AU29" s="1947"/>
      <c r="AV29" s="1947"/>
      <c r="AX29" s="1940" t="s">
        <v>2080</v>
      </c>
      <c r="AY29" s="1944" t="s">
        <v>393</v>
      </c>
      <c r="AZ29" s="1945" t="s">
        <v>2081</v>
      </c>
      <c r="BA29" s="1947"/>
      <c r="BB29" s="1947"/>
      <c r="BC29" s="1947"/>
      <c r="BD29" s="1947"/>
      <c r="BE29" s="1947"/>
      <c r="BF29" s="1947"/>
      <c r="BG29" s="1947"/>
      <c r="BH29" s="1949"/>
      <c r="BI29" s="1947"/>
      <c r="BJ29" s="1947"/>
      <c r="BK29" s="1948"/>
      <c r="BL29" s="1947"/>
      <c r="BM29" s="1947"/>
      <c r="BO29" s="1940" t="s">
        <v>2080</v>
      </c>
      <c r="BP29" s="1944" t="s">
        <v>393</v>
      </c>
      <c r="BQ29" s="1945"/>
      <c r="BR29" s="1947"/>
      <c r="BS29" s="1947"/>
      <c r="BT29" s="1947"/>
      <c r="BU29" s="1947"/>
      <c r="BV29" s="1947"/>
      <c r="BW29" s="1947"/>
      <c r="BX29" s="1947"/>
      <c r="BY29" s="1949"/>
      <c r="BZ29" s="1947"/>
      <c r="CA29" s="1947"/>
      <c r="CB29" s="1948"/>
      <c r="CC29" s="1947"/>
      <c r="CD29" s="1947"/>
      <c r="CE29" s="2302"/>
      <c r="CG29" s="1940" t="s">
        <v>2080</v>
      </c>
      <c r="CH29" s="1944" t="s">
        <v>393</v>
      </c>
      <c r="CI29" s="1945"/>
      <c r="CJ29" s="2943">
        <f t="shared" si="10"/>
        <v>0</v>
      </c>
      <c r="CK29" s="2943">
        <f t="shared" si="10"/>
        <v>0</v>
      </c>
      <c r="CL29" s="2943">
        <f t="shared" si="10"/>
        <v>0</v>
      </c>
      <c r="CM29" s="2943">
        <f t="shared" si="10"/>
        <v>0</v>
      </c>
      <c r="CN29" s="2943">
        <f t="shared" si="10"/>
        <v>0</v>
      </c>
      <c r="CO29" s="2943">
        <f t="shared" si="10"/>
        <v>0</v>
      </c>
      <c r="CP29" s="2943">
        <f t="shared" si="10"/>
        <v>0</v>
      </c>
      <c r="CQ29" s="2952">
        <f t="shared" si="10"/>
        <v>0</v>
      </c>
      <c r="CR29" s="2943">
        <f t="shared" si="10"/>
        <v>0</v>
      </c>
      <c r="CS29" s="2943">
        <f t="shared" si="10"/>
        <v>0</v>
      </c>
      <c r="CT29" s="2947">
        <f t="shared" si="9"/>
        <v>0</v>
      </c>
      <c r="CU29" s="2943">
        <f t="shared" si="9"/>
        <v>0</v>
      </c>
      <c r="CV29" s="2943">
        <f t="shared" si="9"/>
        <v>0</v>
      </c>
      <c r="CW29" s="2445"/>
      <c r="CX29" s="1940" t="s">
        <v>2080</v>
      </c>
      <c r="CY29" s="1944" t="s">
        <v>393</v>
      </c>
      <c r="CZ29" s="1945"/>
      <c r="DA29" s="2945">
        <f t="shared" si="11"/>
        <v>0</v>
      </c>
      <c r="DB29" s="2945"/>
      <c r="DC29" s="2945"/>
      <c r="DD29" s="2945"/>
      <c r="DE29" s="2945"/>
      <c r="DF29" s="2945"/>
      <c r="DG29" s="2945"/>
      <c r="DH29" s="2953"/>
      <c r="DI29" s="2945"/>
      <c r="DJ29" s="2945"/>
      <c r="DK29" s="2949"/>
      <c r="DL29" s="2945"/>
      <c r="DM29" s="2945"/>
    </row>
    <row r="30" spans="1:117">
      <c r="B30" s="1914">
        <f t="shared" si="0"/>
        <v>2.2000000000000002</v>
      </c>
      <c r="C30" s="1959" t="str">
        <f t="shared" si="1"/>
        <v>湿度制御</v>
      </c>
      <c r="D30" s="1938">
        <f>IF(I$20=0,0,G30/I$20)</f>
        <v>0.2</v>
      </c>
      <c r="E30" s="1939">
        <f>IF(J$20=0,0,H30/J$20)</f>
        <v>0.2</v>
      </c>
      <c r="G30" s="1939">
        <f t="shared" si="2"/>
        <v>0.2</v>
      </c>
      <c r="H30" s="1939">
        <f t="shared" si="3"/>
        <v>3.1496062992125984E-3</v>
      </c>
      <c r="I30" s="1939"/>
      <c r="J30" s="1939"/>
      <c r="K30" s="1939">
        <f>IF(スコア!Q30=0,0,1)</f>
        <v>1</v>
      </c>
      <c r="L30" s="1939">
        <f>IF(スコア!T30=0,0,1)</f>
        <v>1</v>
      </c>
      <c r="M30" s="1939">
        <f t="shared" si="4"/>
        <v>0.2</v>
      </c>
      <c r="N30" s="1939">
        <f t="shared" si="5"/>
        <v>3.1496062992125984E-3</v>
      </c>
      <c r="P30" s="1940">
        <f t="shared" si="6"/>
        <v>2.2000000000000002</v>
      </c>
      <c r="Q30" s="1940" t="str">
        <f t="shared" si="6"/>
        <v xml:space="preserve"> Q1 2</v>
      </c>
      <c r="R30" s="1941" t="str">
        <f t="shared" si="6"/>
        <v>湿度制御</v>
      </c>
      <c r="S30" s="1942">
        <f t="shared" si="6"/>
        <v>0.2</v>
      </c>
      <c r="T30" s="1942">
        <f t="shared" si="6"/>
        <v>0.2</v>
      </c>
      <c r="U30" s="1942">
        <f t="shared" si="6"/>
        <v>0.2</v>
      </c>
      <c r="V30" s="1942">
        <f t="shared" si="6"/>
        <v>0.2</v>
      </c>
      <c r="W30" s="1942">
        <f t="shared" si="6"/>
        <v>0.2</v>
      </c>
      <c r="X30" s="1942">
        <f t="shared" si="6"/>
        <v>0.2</v>
      </c>
      <c r="Y30" s="1942">
        <f t="shared" si="6"/>
        <v>0.2</v>
      </c>
      <c r="Z30" s="1960">
        <f t="shared" si="6"/>
        <v>0.2</v>
      </c>
      <c r="AA30" s="1942">
        <f t="shared" si="6"/>
        <v>0.2</v>
      </c>
      <c r="AB30" s="1942">
        <f t="shared" si="8"/>
        <v>0.2</v>
      </c>
      <c r="AC30" s="1943">
        <f t="shared" si="8"/>
        <v>0.2</v>
      </c>
      <c r="AD30" s="1942">
        <f t="shared" si="8"/>
        <v>0.2</v>
      </c>
      <c r="AE30" s="1942">
        <f t="shared" si="8"/>
        <v>0.2</v>
      </c>
      <c r="AG30" s="1940">
        <v>2.2000000000000002</v>
      </c>
      <c r="AH30" s="1944" t="s">
        <v>775</v>
      </c>
      <c r="AI30" s="1941" t="s">
        <v>217</v>
      </c>
      <c r="AJ30" s="1942">
        <v>0.2</v>
      </c>
      <c r="AK30" s="1942">
        <v>0.2</v>
      </c>
      <c r="AL30" s="1942">
        <v>0.2</v>
      </c>
      <c r="AM30" s="1942">
        <v>0.2</v>
      </c>
      <c r="AN30" s="1942">
        <v>0.2</v>
      </c>
      <c r="AO30" s="1942">
        <v>0.2</v>
      </c>
      <c r="AP30" s="1942">
        <v>0.2</v>
      </c>
      <c r="AQ30" s="1960">
        <v>0.2</v>
      </c>
      <c r="AR30" s="1942">
        <v>0.2</v>
      </c>
      <c r="AS30" s="1947">
        <v>0.2</v>
      </c>
      <c r="AT30" s="1948"/>
      <c r="AU30" s="1947"/>
      <c r="AV30" s="1947"/>
      <c r="AX30" s="1940">
        <v>2.2000000000000002</v>
      </c>
      <c r="AY30" s="1944" t="s">
        <v>775</v>
      </c>
      <c r="AZ30" s="1941" t="s">
        <v>217</v>
      </c>
      <c r="BA30" s="1947">
        <v>0.2</v>
      </c>
      <c r="BB30" s="1947">
        <v>0.2</v>
      </c>
      <c r="BC30" s="1947">
        <v>0.2</v>
      </c>
      <c r="BD30" s="1947">
        <v>0.2</v>
      </c>
      <c r="BE30" s="1947">
        <v>0.2</v>
      </c>
      <c r="BF30" s="1947">
        <v>0.2</v>
      </c>
      <c r="BG30" s="1947">
        <v>0.2</v>
      </c>
      <c r="BH30" s="1949">
        <v>0.2</v>
      </c>
      <c r="BI30" s="1947">
        <v>0.2</v>
      </c>
      <c r="BJ30" s="1947">
        <v>0.2</v>
      </c>
      <c r="BK30" s="1948">
        <v>0.2</v>
      </c>
      <c r="BL30" s="1947">
        <v>0.2</v>
      </c>
      <c r="BM30" s="1947">
        <v>0.2</v>
      </c>
      <c r="BO30" s="1940">
        <v>2.2000000000000002</v>
      </c>
      <c r="BP30" s="1944" t="s">
        <v>775</v>
      </c>
      <c r="BQ30" s="1941" t="s">
        <v>3728</v>
      </c>
      <c r="BR30" s="1947">
        <v>0.2</v>
      </c>
      <c r="BS30" s="1947">
        <v>0.2</v>
      </c>
      <c r="BT30" s="1947">
        <v>0.2</v>
      </c>
      <c r="BU30" s="1947">
        <v>0.2</v>
      </c>
      <c r="BV30" s="1947">
        <v>0.2</v>
      </c>
      <c r="BW30" s="1947">
        <v>0.2</v>
      </c>
      <c r="BX30" s="1947">
        <v>0.2</v>
      </c>
      <c r="BY30" s="1949">
        <v>0.2</v>
      </c>
      <c r="BZ30" s="1947">
        <v>0.2</v>
      </c>
      <c r="CA30" s="1947">
        <v>0.2</v>
      </c>
      <c r="CB30" s="1948">
        <v>0.2</v>
      </c>
      <c r="CC30" s="1947">
        <v>0.2</v>
      </c>
      <c r="CD30" s="1947">
        <v>0.2</v>
      </c>
      <c r="CE30" s="2302"/>
      <c r="CG30" s="1940">
        <v>2.2000000000000002</v>
      </c>
      <c r="CH30" s="1944" t="s">
        <v>775</v>
      </c>
      <c r="CI30" s="1941" t="s">
        <v>217</v>
      </c>
      <c r="CJ30" s="2943">
        <f t="shared" si="10"/>
        <v>0.2</v>
      </c>
      <c r="CK30" s="2943">
        <f t="shared" si="10"/>
        <v>0.2</v>
      </c>
      <c r="CL30" s="2943">
        <f t="shared" si="10"/>
        <v>0.2</v>
      </c>
      <c r="CM30" s="2943">
        <f t="shared" si="10"/>
        <v>0.2</v>
      </c>
      <c r="CN30" s="2943">
        <f t="shared" si="10"/>
        <v>0.2</v>
      </c>
      <c r="CO30" s="2943">
        <f t="shared" si="10"/>
        <v>0.2</v>
      </c>
      <c r="CP30" s="2943">
        <f t="shared" si="10"/>
        <v>0.2</v>
      </c>
      <c r="CQ30" s="2952">
        <f t="shared" si="10"/>
        <v>0.2</v>
      </c>
      <c r="CR30" s="2943">
        <f t="shared" si="10"/>
        <v>0.2</v>
      </c>
      <c r="CS30" s="2943">
        <f t="shared" si="10"/>
        <v>0.2</v>
      </c>
      <c r="CT30" s="2947">
        <f t="shared" si="9"/>
        <v>0.2</v>
      </c>
      <c r="CU30" s="2943">
        <f t="shared" si="9"/>
        <v>0.2</v>
      </c>
      <c r="CV30" s="2943">
        <f t="shared" si="9"/>
        <v>0.2</v>
      </c>
      <c r="CW30" s="2445"/>
      <c r="CX30" s="1940">
        <v>2.2000000000000002</v>
      </c>
      <c r="CY30" s="1944" t="s">
        <v>775</v>
      </c>
      <c r="CZ30" s="1941" t="s">
        <v>217</v>
      </c>
      <c r="DA30" s="2945">
        <f t="shared" si="11"/>
        <v>0.2</v>
      </c>
      <c r="DB30" s="2945"/>
      <c r="DC30" s="2945"/>
      <c r="DD30" s="2945"/>
      <c r="DE30" s="2945"/>
      <c r="DF30" s="2945"/>
      <c r="DG30" s="2945"/>
      <c r="DH30" s="2953"/>
      <c r="DI30" s="2945"/>
      <c r="DJ30" s="2945"/>
      <c r="DK30" s="2949"/>
      <c r="DL30" s="2945"/>
      <c r="DM30" s="2945"/>
    </row>
    <row r="31" spans="1:117">
      <c r="B31" s="1914">
        <f t="shared" si="0"/>
        <v>2.2999999999999998</v>
      </c>
      <c r="C31" s="1959" t="str">
        <f t="shared" si="1"/>
        <v>空調方式（新築）</v>
      </c>
      <c r="D31" s="1938">
        <f>IF(I$20=0,0,G31/I$20)</f>
        <v>0.3</v>
      </c>
      <c r="E31" s="1939">
        <f>IF(J$20=0,0,H31/J$20)</f>
        <v>0.3</v>
      </c>
      <c r="G31" s="1939">
        <f t="shared" si="2"/>
        <v>0.3</v>
      </c>
      <c r="H31" s="1939">
        <f t="shared" si="3"/>
        <v>4.7244094488188976E-3</v>
      </c>
      <c r="I31" s="1939"/>
      <c r="J31" s="1939"/>
      <c r="K31" s="1939">
        <f>IF(スコア!Q31=0,0,1)</f>
        <v>1</v>
      </c>
      <c r="L31" s="1939">
        <f>IF(スコア!T31=0,0,1)</f>
        <v>1</v>
      </c>
      <c r="M31" s="1939">
        <f t="shared" si="4"/>
        <v>0.3</v>
      </c>
      <c r="N31" s="1939">
        <f t="shared" si="5"/>
        <v>4.7244094488188976E-3</v>
      </c>
      <c r="P31" s="1940">
        <f t="shared" si="6"/>
        <v>2.2999999999999998</v>
      </c>
      <c r="Q31" s="1940" t="str">
        <f t="shared" si="6"/>
        <v xml:space="preserve"> Q1 2</v>
      </c>
      <c r="R31" s="1941" t="str">
        <f t="shared" si="6"/>
        <v>空調方式（新築）</v>
      </c>
      <c r="S31" s="1942">
        <f t="shared" si="6"/>
        <v>0.3</v>
      </c>
      <c r="T31" s="1942">
        <f t="shared" si="6"/>
        <v>0.3</v>
      </c>
      <c r="U31" s="1942">
        <f t="shared" si="6"/>
        <v>0.3</v>
      </c>
      <c r="V31" s="1942">
        <f t="shared" si="6"/>
        <v>0.3</v>
      </c>
      <c r="W31" s="1942">
        <f t="shared" si="6"/>
        <v>0.3</v>
      </c>
      <c r="X31" s="1942">
        <f t="shared" si="6"/>
        <v>0.3</v>
      </c>
      <c r="Y31" s="1942">
        <f t="shared" si="6"/>
        <v>0.3</v>
      </c>
      <c r="Z31" s="1960">
        <f t="shared" si="6"/>
        <v>0.3</v>
      </c>
      <c r="AA31" s="1942">
        <f t="shared" si="6"/>
        <v>0.3</v>
      </c>
      <c r="AB31" s="1942">
        <f t="shared" si="8"/>
        <v>0.3</v>
      </c>
      <c r="AC31" s="1943">
        <f t="shared" si="8"/>
        <v>0.3</v>
      </c>
      <c r="AD31" s="1942">
        <f t="shared" si="8"/>
        <v>0.3</v>
      </c>
      <c r="AE31" s="1942">
        <f t="shared" si="8"/>
        <v>0.3</v>
      </c>
      <c r="AG31" s="1940">
        <v>2.2999999999999998</v>
      </c>
      <c r="AH31" s="1944" t="s">
        <v>775</v>
      </c>
      <c r="AI31" s="1941"/>
      <c r="AJ31" s="1942"/>
      <c r="AK31" s="1942"/>
      <c r="AL31" s="1942"/>
      <c r="AM31" s="1942"/>
      <c r="AN31" s="1942"/>
      <c r="AO31" s="1942"/>
      <c r="AP31" s="1942"/>
      <c r="AQ31" s="1960"/>
      <c r="AR31" s="1942"/>
      <c r="AS31" s="1964"/>
      <c r="AT31" s="1948"/>
      <c r="AU31" s="1947"/>
      <c r="AV31" s="1947"/>
      <c r="AX31" s="1940">
        <v>2.2999999999999998</v>
      </c>
      <c r="AY31" s="1944" t="s">
        <v>775</v>
      </c>
      <c r="AZ31" s="1941" t="s">
        <v>218</v>
      </c>
      <c r="BA31" s="1947">
        <v>0.3</v>
      </c>
      <c r="BB31" s="1947">
        <v>0.3</v>
      </c>
      <c r="BC31" s="1947">
        <v>0.3</v>
      </c>
      <c r="BD31" s="1947">
        <v>0.3</v>
      </c>
      <c r="BE31" s="1947">
        <v>0.3</v>
      </c>
      <c r="BF31" s="1947">
        <v>0.3</v>
      </c>
      <c r="BG31" s="1947">
        <v>0.3</v>
      </c>
      <c r="BH31" s="1949">
        <v>0.3</v>
      </c>
      <c r="BI31" s="1947">
        <v>0.3</v>
      </c>
      <c r="BJ31" s="1947">
        <v>0.3</v>
      </c>
      <c r="BK31" s="1948">
        <v>0.3</v>
      </c>
      <c r="BL31" s="1947">
        <v>0.3</v>
      </c>
      <c r="BM31" s="1947">
        <v>0.3</v>
      </c>
      <c r="BO31" s="1940">
        <v>2.2999999999999998</v>
      </c>
      <c r="BP31" s="1944" t="s">
        <v>775</v>
      </c>
      <c r="BQ31" s="1941" t="s">
        <v>3729</v>
      </c>
      <c r="BR31" s="1947">
        <v>0.3</v>
      </c>
      <c r="BS31" s="1947">
        <v>0.3</v>
      </c>
      <c r="BT31" s="1947">
        <v>0.3</v>
      </c>
      <c r="BU31" s="1947">
        <v>0.3</v>
      </c>
      <c r="BV31" s="1947">
        <v>0.3</v>
      </c>
      <c r="BW31" s="1947">
        <v>0.3</v>
      </c>
      <c r="BX31" s="1947">
        <v>0.3</v>
      </c>
      <c r="BY31" s="1949">
        <v>0.3</v>
      </c>
      <c r="BZ31" s="1947">
        <v>0.3</v>
      </c>
      <c r="CA31" s="1947">
        <v>0.3</v>
      </c>
      <c r="CB31" s="1948">
        <v>0.3</v>
      </c>
      <c r="CC31" s="1947">
        <v>0.3</v>
      </c>
      <c r="CD31" s="1947">
        <v>0.3</v>
      </c>
      <c r="CE31" s="2302"/>
      <c r="CG31" s="1940">
        <v>2.2999999999999998</v>
      </c>
      <c r="CH31" s="1944" t="s">
        <v>775</v>
      </c>
      <c r="CI31" s="1941" t="s">
        <v>218</v>
      </c>
      <c r="CJ31" s="2943">
        <f t="shared" si="10"/>
        <v>0.3</v>
      </c>
      <c r="CK31" s="2943">
        <f t="shared" si="10"/>
        <v>0.3</v>
      </c>
      <c r="CL31" s="2943">
        <f t="shared" si="10"/>
        <v>0.3</v>
      </c>
      <c r="CM31" s="2943">
        <f t="shared" si="10"/>
        <v>0.3</v>
      </c>
      <c r="CN31" s="2943">
        <f t="shared" si="10"/>
        <v>0.3</v>
      </c>
      <c r="CO31" s="2943">
        <f t="shared" si="10"/>
        <v>0.3</v>
      </c>
      <c r="CP31" s="2943">
        <f t="shared" si="10"/>
        <v>0.3</v>
      </c>
      <c r="CQ31" s="2952">
        <f t="shared" si="10"/>
        <v>0.3</v>
      </c>
      <c r="CR31" s="2943">
        <f t="shared" si="10"/>
        <v>0.3</v>
      </c>
      <c r="CS31" s="2943">
        <f t="shared" si="10"/>
        <v>0.3</v>
      </c>
      <c r="CT31" s="2947">
        <f t="shared" si="9"/>
        <v>0.3</v>
      </c>
      <c r="CU31" s="2943">
        <f t="shared" si="9"/>
        <v>0.3</v>
      </c>
      <c r="CV31" s="2943">
        <f t="shared" si="9"/>
        <v>0.3</v>
      </c>
      <c r="CW31" s="2445"/>
      <c r="CX31" s="1940">
        <v>2.2999999999999998</v>
      </c>
      <c r="CY31" s="1944" t="s">
        <v>775</v>
      </c>
      <c r="CZ31" s="1941" t="s">
        <v>218</v>
      </c>
      <c r="DA31" s="2945">
        <f t="shared" si="11"/>
        <v>0.3</v>
      </c>
      <c r="DB31" s="2945"/>
      <c r="DC31" s="2945"/>
      <c r="DD31" s="2945"/>
      <c r="DE31" s="2945"/>
      <c r="DF31" s="2945"/>
      <c r="DG31" s="2945"/>
      <c r="DH31" s="2953"/>
      <c r="DI31" s="2945"/>
      <c r="DJ31" s="2945"/>
      <c r="DK31" s="2949"/>
      <c r="DL31" s="2945"/>
      <c r="DM31" s="2945"/>
    </row>
    <row r="32" spans="1:117" hidden="1">
      <c r="A32" s="2445"/>
      <c r="B32" s="1914">
        <f t="shared" si="0"/>
        <v>2.2999999999999998</v>
      </c>
      <c r="C32" s="1941">
        <f t="shared" si="1"/>
        <v>0</v>
      </c>
      <c r="D32" s="1938">
        <f t="shared" ref="D32:E32" si="14">IF(I$20=0,0,G32/I$20)</f>
        <v>0</v>
      </c>
      <c r="E32" s="1939">
        <f t="shared" si="14"/>
        <v>0</v>
      </c>
      <c r="F32" s="2445"/>
      <c r="G32" s="1939">
        <f t="shared" si="2"/>
        <v>0</v>
      </c>
      <c r="H32" s="1939">
        <f t="shared" si="3"/>
        <v>0</v>
      </c>
      <c r="I32" s="1939">
        <f>SUM(G33:G34)</f>
        <v>0</v>
      </c>
      <c r="J32" s="1939">
        <f>SUM(H33:H34)</f>
        <v>0</v>
      </c>
      <c r="K32" s="1939"/>
      <c r="L32" s="1939"/>
      <c r="M32" s="1939">
        <f t="shared" si="4"/>
        <v>0</v>
      </c>
      <c r="N32" s="1939">
        <f t="shared" si="5"/>
        <v>0</v>
      </c>
      <c r="O32" s="2445"/>
      <c r="P32" s="1940">
        <f t="shared" si="6"/>
        <v>2.2999999999999998</v>
      </c>
      <c r="Q32" s="1940" t="str">
        <f t="shared" si="6"/>
        <v xml:space="preserve"> Q1 2</v>
      </c>
      <c r="R32" s="1941">
        <f t="shared" si="6"/>
        <v>0</v>
      </c>
      <c r="S32" s="1942">
        <f t="shared" si="6"/>
        <v>0</v>
      </c>
      <c r="T32" s="1942">
        <f t="shared" si="6"/>
        <v>0</v>
      </c>
      <c r="U32" s="1942">
        <f t="shared" si="6"/>
        <v>0</v>
      </c>
      <c r="V32" s="1942">
        <f t="shared" si="6"/>
        <v>0</v>
      </c>
      <c r="W32" s="1942">
        <f t="shared" si="6"/>
        <v>0</v>
      </c>
      <c r="X32" s="1942">
        <f t="shared" si="6"/>
        <v>0</v>
      </c>
      <c r="Y32" s="1942">
        <f t="shared" si="6"/>
        <v>0</v>
      </c>
      <c r="Z32" s="1960">
        <f t="shared" si="6"/>
        <v>0</v>
      </c>
      <c r="AA32" s="1942">
        <f t="shared" si="6"/>
        <v>0</v>
      </c>
      <c r="AB32" s="1942">
        <f t="shared" si="8"/>
        <v>0</v>
      </c>
      <c r="AC32" s="1943">
        <f t="shared" si="8"/>
        <v>0</v>
      </c>
      <c r="AD32" s="1942">
        <f t="shared" si="8"/>
        <v>0</v>
      </c>
      <c r="AE32" s="1942">
        <f t="shared" si="8"/>
        <v>0</v>
      </c>
      <c r="AF32" s="2445"/>
      <c r="AG32" s="1940">
        <v>2.2999999999999998</v>
      </c>
      <c r="AH32" s="1944" t="s">
        <v>775</v>
      </c>
      <c r="AI32" s="1941" t="s">
        <v>3784</v>
      </c>
      <c r="AJ32" s="3005">
        <v>0.3</v>
      </c>
      <c r="AK32" s="3005">
        <v>0.3</v>
      </c>
      <c r="AL32" s="3005">
        <v>0.3</v>
      </c>
      <c r="AM32" s="3005">
        <v>0.3</v>
      </c>
      <c r="AN32" s="3005">
        <v>0.3</v>
      </c>
      <c r="AO32" s="3005">
        <v>0.3</v>
      </c>
      <c r="AP32" s="3005">
        <v>0.3</v>
      </c>
      <c r="AQ32" s="3006">
        <v>0.3</v>
      </c>
      <c r="AR32" s="3005">
        <v>0.3</v>
      </c>
      <c r="AS32" s="1964">
        <v>0.3</v>
      </c>
      <c r="AT32" s="1948"/>
      <c r="AU32" s="1948"/>
      <c r="AV32" s="1948"/>
      <c r="AW32" s="2445"/>
      <c r="AX32" s="1940">
        <v>2.2999999999999998</v>
      </c>
      <c r="AY32" s="1944" t="s">
        <v>775</v>
      </c>
      <c r="AZ32" s="1941" t="s">
        <v>218</v>
      </c>
      <c r="BA32" s="1947">
        <v>0.3</v>
      </c>
      <c r="BB32" s="1947">
        <v>0.3</v>
      </c>
      <c r="BC32" s="1947">
        <v>0.3</v>
      </c>
      <c r="BD32" s="1947">
        <v>0.3</v>
      </c>
      <c r="BE32" s="1947">
        <v>0.3</v>
      </c>
      <c r="BF32" s="1947">
        <v>0.3</v>
      </c>
      <c r="BG32" s="1947">
        <v>0.3</v>
      </c>
      <c r="BH32" s="1949">
        <v>0.3</v>
      </c>
      <c r="BI32" s="1947">
        <v>0.3</v>
      </c>
      <c r="BJ32" s="1947">
        <v>0.3</v>
      </c>
      <c r="BK32" s="1948">
        <v>0.3</v>
      </c>
      <c r="BL32" s="1947">
        <v>0.3</v>
      </c>
      <c r="BM32" s="1947">
        <v>0.3</v>
      </c>
      <c r="BN32" s="2445"/>
      <c r="BO32" s="1940">
        <v>2.2999999999999998</v>
      </c>
      <c r="BP32" s="1944" t="s">
        <v>775</v>
      </c>
      <c r="BQ32" s="1941"/>
      <c r="BR32" s="1947"/>
      <c r="BS32" s="1947"/>
      <c r="BT32" s="1947"/>
      <c r="BU32" s="1947"/>
      <c r="BV32" s="1947"/>
      <c r="BW32" s="1947"/>
      <c r="BX32" s="1947"/>
      <c r="BY32" s="1949"/>
      <c r="BZ32" s="1947"/>
      <c r="CA32" s="1947"/>
      <c r="CB32" s="1948"/>
      <c r="CC32" s="1947"/>
      <c r="CD32" s="1947"/>
      <c r="CE32" s="2302"/>
      <c r="CF32" s="2445"/>
      <c r="CG32" s="1940">
        <v>2.2999999999999998</v>
      </c>
      <c r="CH32" s="1944" t="s">
        <v>775</v>
      </c>
      <c r="CI32" s="1941"/>
      <c r="CJ32" s="2943"/>
      <c r="CK32" s="2943"/>
      <c r="CL32" s="2943"/>
      <c r="CM32" s="2943"/>
      <c r="CN32" s="2943"/>
      <c r="CO32" s="2943"/>
      <c r="CP32" s="2943"/>
      <c r="CQ32" s="2952"/>
      <c r="CR32" s="2943"/>
      <c r="CS32" s="2943"/>
      <c r="CT32" s="2947"/>
      <c r="CU32" s="2943"/>
      <c r="CV32" s="2943"/>
      <c r="CW32" s="2445"/>
      <c r="CX32" s="1940">
        <v>2.2999999999999998</v>
      </c>
      <c r="CY32" s="1944" t="s">
        <v>775</v>
      </c>
      <c r="CZ32" s="1941"/>
      <c r="DA32" s="2945">
        <f t="shared" si="11"/>
        <v>0</v>
      </c>
      <c r="DB32" s="2945"/>
      <c r="DC32" s="2945"/>
      <c r="DD32" s="2945"/>
      <c r="DE32" s="2945"/>
      <c r="DF32" s="2945"/>
      <c r="DG32" s="2945"/>
      <c r="DH32" s="2953"/>
      <c r="DI32" s="2945"/>
      <c r="DJ32" s="2945"/>
      <c r="DK32" s="2949"/>
      <c r="DL32" s="2945"/>
      <c r="DM32" s="2945"/>
    </row>
    <row r="33" spans="1:117" hidden="1">
      <c r="B33" s="1914" t="str">
        <f t="shared" si="0"/>
        <v>2.3.1</v>
      </c>
      <c r="C33" s="1965">
        <f t="shared" si="1"/>
        <v>0</v>
      </c>
      <c r="D33" s="1966">
        <f>IF(I$32&gt;0,G33/I$32,0)</f>
        <v>0</v>
      </c>
      <c r="E33" s="1967">
        <f>IF(J$32&gt;0,H33/J$32,0)</f>
        <v>0</v>
      </c>
      <c r="G33" s="1967">
        <f t="shared" si="2"/>
        <v>0</v>
      </c>
      <c r="H33" s="1967">
        <f t="shared" si="3"/>
        <v>0</v>
      </c>
      <c r="I33" s="1967"/>
      <c r="J33" s="1967"/>
      <c r="K33" s="1967">
        <f>IF(スコア!Q33=0,0,1)</f>
        <v>0</v>
      </c>
      <c r="L33" s="1967">
        <f>IF(スコア!T33=0,0,1)</f>
        <v>0</v>
      </c>
      <c r="M33" s="1967">
        <f t="shared" si="4"/>
        <v>0</v>
      </c>
      <c r="N33" s="1967">
        <f t="shared" si="5"/>
        <v>0</v>
      </c>
      <c r="P33" s="1968" t="str">
        <f t="shared" si="6"/>
        <v>2.3.1</v>
      </c>
      <c r="Q33" s="1968" t="str">
        <f t="shared" si="6"/>
        <v xml:space="preserve"> Q1 2.3</v>
      </c>
      <c r="R33" s="1969">
        <f t="shared" si="6"/>
        <v>0</v>
      </c>
      <c r="S33" s="1952">
        <f t="shared" si="6"/>
        <v>0</v>
      </c>
      <c r="T33" s="1952">
        <f t="shared" si="6"/>
        <v>0</v>
      </c>
      <c r="U33" s="1952">
        <f t="shared" si="6"/>
        <v>0</v>
      </c>
      <c r="V33" s="1952">
        <f t="shared" si="6"/>
        <v>0</v>
      </c>
      <c r="W33" s="1952">
        <f t="shared" si="6"/>
        <v>0</v>
      </c>
      <c r="X33" s="1952">
        <f t="shared" si="6"/>
        <v>0</v>
      </c>
      <c r="Y33" s="1952">
        <f t="shared" si="6"/>
        <v>0</v>
      </c>
      <c r="Z33" s="1970">
        <f t="shared" si="6"/>
        <v>0</v>
      </c>
      <c r="AA33" s="1952">
        <f t="shared" si="6"/>
        <v>0</v>
      </c>
      <c r="AB33" s="1952">
        <f t="shared" si="8"/>
        <v>0</v>
      </c>
      <c r="AC33" s="1971">
        <f t="shared" si="8"/>
        <v>0</v>
      </c>
      <c r="AD33" s="1952">
        <f t="shared" si="8"/>
        <v>0</v>
      </c>
      <c r="AE33" s="1952">
        <f t="shared" si="8"/>
        <v>0</v>
      </c>
      <c r="AG33" s="1940" t="s">
        <v>211</v>
      </c>
      <c r="AH33" s="1944" t="s">
        <v>2082</v>
      </c>
      <c r="AI33" s="1941" t="s">
        <v>219</v>
      </c>
      <c r="AJ33" s="1942">
        <v>0.5</v>
      </c>
      <c r="AK33" s="1942">
        <v>0.5</v>
      </c>
      <c r="AL33" s="1942">
        <v>0.5</v>
      </c>
      <c r="AM33" s="1942">
        <v>0.5</v>
      </c>
      <c r="AN33" s="1942">
        <v>0.5</v>
      </c>
      <c r="AO33" s="1942">
        <v>0.5</v>
      </c>
      <c r="AP33" s="1942">
        <v>0.5</v>
      </c>
      <c r="AQ33" s="1960">
        <v>0.5</v>
      </c>
      <c r="AR33" s="1942">
        <v>0.5</v>
      </c>
      <c r="AS33" s="1964">
        <v>0.5</v>
      </c>
      <c r="AT33" s="1948"/>
      <c r="AU33" s="1948"/>
      <c r="AV33" s="1948"/>
      <c r="AX33" s="1968" t="s">
        <v>212</v>
      </c>
      <c r="AY33" s="1972" t="s">
        <v>2082</v>
      </c>
      <c r="AZ33" s="1973" t="s">
        <v>219</v>
      </c>
      <c r="BA33" s="1974"/>
      <c r="BB33" s="1974"/>
      <c r="BC33" s="1974"/>
      <c r="BD33" s="1974"/>
      <c r="BE33" s="1974"/>
      <c r="BF33" s="1974"/>
      <c r="BG33" s="1974"/>
      <c r="BH33" s="1975"/>
      <c r="BI33" s="1974"/>
      <c r="BJ33" s="1974"/>
      <c r="BK33" s="1976"/>
      <c r="BL33" s="1974"/>
      <c r="BM33" s="1974"/>
      <c r="BO33" s="1968" t="s">
        <v>3673</v>
      </c>
      <c r="BP33" s="1972" t="s">
        <v>2082</v>
      </c>
      <c r="BQ33" s="1973"/>
      <c r="BR33" s="1977"/>
      <c r="BS33" s="1977"/>
      <c r="BT33" s="1977"/>
      <c r="BU33" s="1977"/>
      <c r="BV33" s="1977"/>
      <c r="BW33" s="1977"/>
      <c r="BX33" s="1977"/>
      <c r="BY33" s="1978">
        <v>0</v>
      </c>
      <c r="BZ33" s="1977"/>
      <c r="CA33" s="1977"/>
      <c r="CB33" s="1979"/>
      <c r="CC33" s="1977"/>
      <c r="CD33" s="1977"/>
      <c r="CE33" s="2303"/>
      <c r="CG33" s="1940" t="s">
        <v>3487</v>
      </c>
      <c r="CH33" s="1944" t="s">
        <v>2082</v>
      </c>
      <c r="CI33" s="1945"/>
      <c r="CJ33" s="2943"/>
      <c r="CK33" s="2943"/>
      <c r="CL33" s="2943"/>
      <c r="CM33" s="2943"/>
      <c r="CN33" s="2943"/>
      <c r="CO33" s="2943"/>
      <c r="CP33" s="2943"/>
      <c r="CQ33" s="2956"/>
      <c r="CR33" s="2943"/>
      <c r="CS33" s="2943"/>
      <c r="CT33" s="2947"/>
      <c r="CU33" s="2943"/>
      <c r="CV33" s="2943"/>
      <c r="CW33" s="2421"/>
      <c r="CX33" s="1940" t="s">
        <v>3487</v>
      </c>
      <c r="CY33" s="1944" t="s">
        <v>2082</v>
      </c>
      <c r="CZ33" s="1945"/>
      <c r="DA33" s="2945">
        <f t="shared" si="11"/>
        <v>0</v>
      </c>
      <c r="DB33" s="2945"/>
      <c r="DC33" s="2945"/>
      <c r="DD33" s="2945"/>
      <c r="DE33" s="2945"/>
      <c r="DF33" s="2945"/>
      <c r="DG33" s="2945"/>
      <c r="DH33" s="2957"/>
      <c r="DI33" s="2945"/>
      <c r="DJ33" s="2945"/>
      <c r="DK33" s="2949"/>
      <c r="DL33" s="2945"/>
      <c r="DM33" s="2945"/>
    </row>
    <row r="34" spans="1:117" hidden="1">
      <c r="B34" s="1914" t="str">
        <f t="shared" si="0"/>
        <v>2.3.2</v>
      </c>
      <c r="C34" s="1965">
        <f t="shared" si="1"/>
        <v>0</v>
      </c>
      <c r="D34" s="1966">
        <f>IF(I$32&gt;0,G34/I$32,0)</f>
        <v>0</v>
      </c>
      <c r="E34" s="1967">
        <f>IF(J$32&gt;0,H34/J$32,0)</f>
        <v>0</v>
      </c>
      <c r="G34" s="1967">
        <f t="shared" si="2"/>
        <v>0</v>
      </c>
      <c r="H34" s="1967">
        <f t="shared" si="3"/>
        <v>0</v>
      </c>
      <c r="I34" s="1967"/>
      <c r="J34" s="1967"/>
      <c r="K34" s="1967">
        <f>IF(スコア!Q34=0,0,1)</f>
        <v>0</v>
      </c>
      <c r="L34" s="1967">
        <f>IF(スコア!T34=0,0,1)</f>
        <v>0</v>
      </c>
      <c r="M34" s="1967">
        <f t="shared" si="4"/>
        <v>0</v>
      </c>
      <c r="N34" s="1967">
        <f t="shared" si="5"/>
        <v>0</v>
      </c>
      <c r="P34" s="1968" t="str">
        <f t="shared" si="6"/>
        <v>2.3.2</v>
      </c>
      <c r="Q34" s="1968" t="str">
        <f t="shared" si="6"/>
        <v xml:space="preserve"> Q1 2.3</v>
      </c>
      <c r="R34" s="1969">
        <f t="shared" si="6"/>
        <v>0</v>
      </c>
      <c r="S34" s="1952">
        <f t="shared" si="6"/>
        <v>0</v>
      </c>
      <c r="T34" s="1952">
        <f t="shared" si="6"/>
        <v>0</v>
      </c>
      <c r="U34" s="1952">
        <f t="shared" si="6"/>
        <v>0</v>
      </c>
      <c r="V34" s="1952">
        <f t="shared" si="6"/>
        <v>0</v>
      </c>
      <c r="W34" s="1952">
        <f t="shared" si="6"/>
        <v>0</v>
      </c>
      <c r="X34" s="1952">
        <f t="shared" si="6"/>
        <v>0</v>
      </c>
      <c r="Y34" s="1952">
        <f t="shared" si="6"/>
        <v>0</v>
      </c>
      <c r="Z34" s="1970">
        <f t="shared" si="6"/>
        <v>0</v>
      </c>
      <c r="AA34" s="1952">
        <f t="shared" si="6"/>
        <v>0</v>
      </c>
      <c r="AB34" s="1952">
        <f t="shared" si="8"/>
        <v>0</v>
      </c>
      <c r="AC34" s="1971">
        <f t="shared" si="8"/>
        <v>0</v>
      </c>
      <c r="AD34" s="1952">
        <f t="shared" si="8"/>
        <v>0</v>
      </c>
      <c r="AE34" s="1952">
        <f t="shared" si="8"/>
        <v>0</v>
      </c>
      <c r="AG34" s="1940" t="s">
        <v>213</v>
      </c>
      <c r="AH34" s="1944" t="s">
        <v>2082</v>
      </c>
      <c r="AI34" s="1941" t="s">
        <v>1508</v>
      </c>
      <c r="AJ34" s="1942">
        <v>0.5</v>
      </c>
      <c r="AK34" s="1942">
        <v>0.5</v>
      </c>
      <c r="AL34" s="1942">
        <v>0.5</v>
      </c>
      <c r="AM34" s="1942">
        <v>0.5</v>
      </c>
      <c r="AN34" s="1942">
        <v>0.5</v>
      </c>
      <c r="AO34" s="1942">
        <v>0.5</v>
      </c>
      <c r="AP34" s="1942">
        <v>0.5</v>
      </c>
      <c r="AQ34" s="1942">
        <v>0.5</v>
      </c>
      <c r="AR34" s="1942">
        <v>0.5</v>
      </c>
      <c r="AS34" s="1964">
        <v>0.5</v>
      </c>
      <c r="AT34" s="1948"/>
      <c r="AU34" s="1948"/>
      <c r="AV34" s="1948"/>
      <c r="AX34" s="1968" t="s">
        <v>214</v>
      </c>
      <c r="AY34" s="1972" t="s">
        <v>2082</v>
      </c>
      <c r="AZ34" s="1973" t="s">
        <v>1508</v>
      </c>
      <c r="BA34" s="1974"/>
      <c r="BB34" s="1974"/>
      <c r="BC34" s="1974"/>
      <c r="BD34" s="1974"/>
      <c r="BE34" s="1974"/>
      <c r="BF34" s="1974"/>
      <c r="BG34" s="1974"/>
      <c r="BH34" s="1975"/>
      <c r="BI34" s="1974"/>
      <c r="BJ34" s="1974"/>
      <c r="BK34" s="1976"/>
      <c r="BL34" s="1974"/>
      <c r="BM34" s="1974"/>
      <c r="BO34" s="1968" t="s">
        <v>3674</v>
      </c>
      <c r="BP34" s="1972" t="s">
        <v>2082</v>
      </c>
      <c r="BQ34" s="1973"/>
      <c r="BR34" s="1977"/>
      <c r="BS34" s="1977"/>
      <c r="BT34" s="1977"/>
      <c r="BU34" s="1977"/>
      <c r="BV34" s="1977"/>
      <c r="BW34" s="1977"/>
      <c r="BX34" s="1977"/>
      <c r="BY34" s="1978">
        <v>0</v>
      </c>
      <c r="BZ34" s="1977"/>
      <c r="CA34" s="1977"/>
      <c r="CB34" s="1979"/>
      <c r="CC34" s="1977"/>
      <c r="CD34" s="1977"/>
      <c r="CE34" s="2303"/>
      <c r="CG34" s="1940" t="s">
        <v>3488</v>
      </c>
      <c r="CH34" s="1944" t="s">
        <v>2082</v>
      </c>
      <c r="CI34" s="1945"/>
      <c r="CJ34" s="2943"/>
      <c r="CK34" s="2943"/>
      <c r="CL34" s="2943"/>
      <c r="CM34" s="2943"/>
      <c r="CN34" s="2943"/>
      <c r="CO34" s="2943"/>
      <c r="CP34" s="2943"/>
      <c r="CQ34" s="2956"/>
      <c r="CR34" s="2943"/>
      <c r="CS34" s="2943"/>
      <c r="CT34" s="2947"/>
      <c r="CU34" s="2943"/>
      <c r="CV34" s="2943"/>
      <c r="CW34" s="2421"/>
      <c r="CX34" s="1940" t="s">
        <v>3488</v>
      </c>
      <c r="CY34" s="1944" t="s">
        <v>2082</v>
      </c>
      <c r="CZ34" s="1945"/>
      <c r="DA34" s="2945">
        <f t="shared" si="11"/>
        <v>0</v>
      </c>
      <c r="DB34" s="2945"/>
      <c r="DC34" s="2945"/>
      <c r="DD34" s="2945"/>
      <c r="DE34" s="2945"/>
      <c r="DF34" s="2945"/>
      <c r="DG34" s="2945"/>
      <c r="DH34" s="2957"/>
      <c r="DI34" s="2945"/>
      <c r="DJ34" s="2945"/>
      <c r="DK34" s="2949"/>
      <c r="DL34" s="2945"/>
      <c r="DM34" s="2945"/>
    </row>
    <row r="35" spans="1:117" s="1328" customFormat="1">
      <c r="A35"/>
      <c r="B35" s="1914">
        <f t="shared" si="0"/>
        <v>3</v>
      </c>
      <c r="C35" s="1924" t="str">
        <f t="shared" si="1"/>
        <v>光・視環境</v>
      </c>
      <c r="D35" s="1925">
        <f>IF(I$9=0,0,G35/I$9)</f>
        <v>0.25</v>
      </c>
      <c r="E35" s="1926">
        <f>IF(J$9=0,0,H35/J$9)</f>
        <v>0</v>
      </c>
      <c r="F35"/>
      <c r="G35" s="1926">
        <f t="shared" si="2"/>
        <v>0.25</v>
      </c>
      <c r="H35" s="1926">
        <f t="shared" si="3"/>
        <v>0</v>
      </c>
      <c r="I35" s="1926">
        <f>G36+G40+G44+G47</f>
        <v>1</v>
      </c>
      <c r="J35" s="1926">
        <f>H36+H40+H44+H47</f>
        <v>1.5748031496062992E-2</v>
      </c>
      <c r="K35" s="1926">
        <f>IF(スコア!Q35=0,0,1)</f>
        <v>1</v>
      </c>
      <c r="L35" s="1926">
        <f>IF(スコア!T35=0,0,1)</f>
        <v>1</v>
      </c>
      <c r="M35" s="1926">
        <f t="shared" si="4"/>
        <v>0.25</v>
      </c>
      <c r="N35" s="1926">
        <f t="shared" si="5"/>
        <v>0</v>
      </c>
      <c r="O35"/>
      <c r="P35" s="1928">
        <f t="shared" si="6"/>
        <v>3</v>
      </c>
      <c r="Q35" s="1928" t="str">
        <f t="shared" si="6"/>
        <v xml:space="preserve"> Q1</v>
      </c>
      <c r="R35" s="1929" t="str">
        <f t="shared" si="6"/>
        <v>光・視環境</v>
      </c>
      <c r="S35" s="1930">
        <f t="shared" si="6"/>
        <v>0.25</v>
      </c>
      <c r="T35" s="1930">
        <f t="shared" si="6"/>
        <v>0.25</v>
      </c>
      <c r="U35" s="1930">
        <f t="shared" si="6"/>
        <v>0.25</v>
      </c>
      <c r="V35" s="1930">
        <f t="shared" si="6"/>
        <v>0.25</v>
      </c>
      <c r="W35" s="1930">
        <f t="shared" si="6"/>
        <v>0.25</v>
      </c>
      <c r="X35" s="1930">
        <f t="shared" si="6"/>
        <v>0.25</v>
      </c>
      <c r="Y35" s="1930">
        <f t="shared" si="6"/>
        <v>0.25</v>
      </c>
      <c r="Z35" s="1956">
        <f t="shared" si="6"/>
        <v>0.25</v>
      </c>
      <c r="AA35" s="1930">
        <f t="shared" si="6"/>
        <v>0.25</v>
      </c>
      <c r="AB35" s="1930">
        <f t="shared" si="8"/>
        <v>0.25</v>
      </c>
      <c r="AC35" s="1932">
        <f t="shared" si="8"/>
        <v>0</v>
      </c>
      <c r="AD35" s="1930">
        <f t="shared" si="8"/>
        <v>0</v>
      </c>
      <c r="AE35" s="1930">
        <f t="shared" si="8"/>
        <v>0</v>
      </c>
      <c r="AF35"/>
      <c r="AG35" s="1928">
        <v>3</v>
      </c>
      <c r="AH35" s="1933" t="s">
        <v>767</v>
      </c>
      <c r="AI35" s="1929" t="s">
        <v>762</v>
      </c>
      <c r="AJ35" s="1930">
        <v>0.25</v>
      </c>
      <c r="AK35" s="1930">
        <v>0.25</v>
      </c>
      <c r="AL35" s="1930">
        <v>0.25</v>
      </c>
      <c r="AM35" s="1930">
        <v>0.25</v>
      </c>
      <c r="AN35" s="1930">
        <v>0.25</v>
      </c>
      <c r="AO35" s="1930">
        <v>0.25</v>
      </c>
      <c r="AP35" s="1930">
        <v>0.25</v>
      </c>
      <c r="AQ35" s="1956">
        <v>0</v>
      </c>
      <c r="AR35" s="1930">
        <v>0.25</v>
      </c>
      <c r="AS35" s="1934">
        <v>0.25</v>
      </c>
      <c r="AT35" s="1935"/>
      <c r="AU35" s="1934"/>
      <c r="AV35" s="1934"/>
      <c r="AW35"/>
      <c r="AX35" s="1928">
        <v>3</v>
      </c>
      <c r="AY35" s="1933" t="s">
        <v>767</v>
      </c>
      <c r="AZ35" s="1929" t="s">
        <v>762</v>
      </c>
      <c r="BA35" s="1934">
        <v>0.25</v>
      </c>
      <c r="BB35" s="1934">
        <v>0.25</v>
      </c>
      <c r="BC35" s="1934">
        <v>0.25</v>
      </c>
      <c r="BD35" s="1934">
        <v>0.25</v>
      </c>
      <c r="BE35" s="1934">
        <v>0.25</v>
      </c>
      <c r="BF35" s="1934">
        <v>0.25</v>
      </c>
      <c r="BG35" s="1934">
        <v>0.25</v>
      </c>
      <c r="BH35" s="1958"/>
      <c r="BI35" s="1934">
        <v>0.25</v>
      </c>
      <c r="BJ35" s="1934">
        <v>0.25</v>
      </c>
      <c r="BK35" s="1935"/>
      <c r="BL35" s="1934"/>
      <c r="BM35" s="1934"/>
      <c r="BN35"/>
      <c r="BO35" s="1928">
        <v>3</v>
      </c>
      <c r="BP35" s="1933" t="s">
        <v>767</v>
      </c>
      <c r="BQ35" s="1929" t="s">
        <v>762</v>
      </c>
      <c r="BR35" s="1934">
        <v>0.25</v>
      </c>
      <c r="BS35" s="1934">
        <v>0.25</v>
      </c>
      <c r="BT35" s="1934">
        <v>0.25</v>
      </c>
      <c r="BU35" s="1934">
        <v>0.25</v>
      </c>
      <c r="BV35" s="1934">
        <v>0.25</v>
      </c>
      <c r="BW35" s="1934">
        <v>0.25</v>
      </c>
      <c r="BX35" s="1934">
        <v>0.25</v>
      </c>
      <c r="BY35" s="1958">
        <v>0.25</v>
      </c>
      <c r="BZ35" s="1934">
        <v>0.25</v>
      </c>
      <c r="CA35" s="1934">
        <v>0.25</v>
      </c>
      <c r="CB35" s="1935"/>
      <c r="CC35" s="1934"/>
      <c r="CD35" s="1934"/>
      <c r="CE35" s="2301"/>
      <c r="CF35"/>
      <c r="CG35" s="1928">
        <v>3</v>
      </c>
      <c r="CH35" s="1933" t="s">
        <v>767</v>
      </c>
      <c r="CI35" s="1929" t="s">
        <v>762</v>
      </c>
      <c r="CJ35" s="2937">
        <f t="shared" si="10"/>
        <v>0.25</v>
      </c>
      <c r="CK35" s="2937">
        <f t="shared" si="10"/>
        <v>0.25</v>
      </c>
      <c r="CL35" s="2937">
        <f t="shared" si="10"/>
        <v>0.25</v>
      </c>
      <c r="CM35" s="2937">
        <f t="shared" si="10"/>
        <v>0.25</v>
      </c>
      <c r="CN35" s="2937">
        <f t="shared" si="10"/>
        <v>0.25</v>
      </c>
      <c r="CO35" s="2937">
        <f t="shared" si="10"/>
        <v>0.25</v>
      </c>
      <c r="CP35" s="2937">
        <f t="shared" si="10"/>
        <v>0.25</v>
      </c>
      <c r="CQ35" s="2950">
        <f t="shared" si="10"/>
        <v>0.25</v>
      </c>
      <c r="CR35" s="2937">
        <f t="shared" si="10"/>
        <v>0.25</v>
      </c>
      <c r="CS35" s="2937">
        <f t="shared" si="10"/>
        <v>0.25</v>
      </c>
      <c r="CT35" s="2939">
        <f t="shared" si="9"/>
        <v>0</v>
      </c>
      <c r="CU35" s="2937">
        <f t="shared" si="9"/>
        <v>0</v>
      </c>
      <c r="CV35" s="2937">
        <f t="shared" si="9"/>
        <v>0</v>
      </c>
      <c r="CW35" s="2445"/>
      <c r="CX35" s="1928">
        <v>3</v>
      </c>
      <c r="CY35" s="1933" t="s">
        <v>767</v>
      </c>
      <c r="CZ35" s="1929" t="s">
        <v>762</v>
      </c>
      <c r="DA35" s="2940">
        <f t="shared" si="11"/>
        <v>0.25</v>
      </c>
      <c r="DB35" s="2940"/>
      <c r="DC35" s="2940"/>
      <c r="DD35" s="2940"/>
      <c r="DE35" s="2940"/>
      <c r="DF35" s="2940"/>
      <c r="DG35" s="2940"/>
      <c r="DH35" s="2951"/>
      <c r="DI35" s="2940"/>
      <c r="DJ35" s="2940"/>
      <c r="DK35" s="2942"/>
      <c r="DL35" s="2940"/>
      <c r="DM35" s="2940"/>
    </row>
    <row r="36" spans="1:117">
      <c r="B36" s="1914">
        <f t="shared" si="0"/>
        <v>3.1</v>
      </c>
      <c r="C36" s="1959" t="str">
        <f t="shared" si="1"/>
        <v>昼光利用</v>
      </c>
      <c r="D36" s="1938">
        <f>IF(I$35=0,0,G36/I$35)</f>
        <v>0.3</v>
      </c>
      <c r="E36" s="1939">
        <f>IF(J$35=0,0,H36/J$35)</f>
        <v>0.3</v>
      </c>
      <c r="G36" s="1939">
        <f t="shared" si="2"/>
        <v>0.3</v>
      </c>
      <c r="H36" s="1939">
        <f t="shared" si="3"/>
        <v>4.7244094488188976E-3</v>
      </c>
      <c r="I36" s="1939">
        <f>SUM(G37:G39)</f>
        <v>0.6</v>
      </c>
      <c r="J36" s="1939">
        <f>SUM(H37:H39)</f>
        <v>7.874015748031496E-3</v>
      </c>
      <c r="K36" s="1939">
        <f>IF(スコア!Q36=0,0,1)</f>
        <v>1</v>
      </c>
      <c r="L36" s="1939">
        <f>IF(スコア!T36=0,0,1)</f>
        <v>1</v>
      </c>
      <c r="M36" s="1939">
        <f t="shared" si="4"/>
        <v>0.3</v>
      </c>
      <c r="N36" s="1939">
        <f t="shared" si="5"/>
        <v>4.7244094488188976E-3</v>
      </c>
      <c r="P36" s="1940">
        <f t="shared" si="6"/>
        <v>3.1</v>
      </c>
      <c r="Q36" s="1940" t="str">
        <f t="shared" si="6"/>
        <v xml:space="preserve"> Q1 3</v>
      </c>
      <c r="R36" s="1941" t="str">
        <f t="shared" si="6"/>
        <v>昼光利用</v>
      </c>
      <c r="S36" s="1942">
        <f t="shared" si="6"/>
        <v>0.3</v>
      </c>
      <c r="T36" s="1942">
        <f t="shared" si="6"/>
        <v>0.3</v>
      </c>
      <c r="U36" s="1942">
        <f t="shared" si="6"/>
        <v>0.5</v>
      </c>
      <c r="V36" s="1942">
        <f t="shared" si="6"/>
        <v>1</v>
      </c>
      <c r="W36" s="1942">
        <f t="shared" si="6"/>
        <v>0.3</v>
      </c>
      <c r="X36" s="1942">
        <f t="shared" si="6"/>
        <v>0.3</v>
      </c>
      <c r="Y36" s="1942">
        <f t="shared" si="6"/>
        <v>0.3</v>
      </c>
      <c r="Z36" s="1960">
        <f t="shared" si="6"/>
        <v>0.3</v>
      </c>
      <c r="AA36" s="1942">
        <f t="shared" si="6"/>
        <v>0.3</v>
      </c>
      <c r="AB36" s="1942">
        <f t="shared" si="8"/>
        <v>0.3</v>
      </c>
      <c r="AC36" s="1943">
        <f t="shared" si="8"/>
        <v>0.3</v>
      </c>
      <c r="AD36" s="1942">
        <f t="shared" si="8"/>
        <v>0.3</v>
      </c>
      <c r="AE36" s="1942">
        <f t="shared" si="8"/>
        <v>0.3</v>
      </c>
      <c r="AG36" s="1940">
        <v>3.1</v>
      </c>
      <c r="AH36" s="1944" t="s">
        <v>2083</v>
      </c>
      <c r="AI36" s="1941" t="s">
        <v>1510</v>
      </c>
      <c r="AJ36" s="1942">
        <v>0.3</v>
      </c>
      <c r="AK36" s="1942">
        <v>0.3</v>
      </c>
      <c r="AL36" s="1942">
        <v>0.5</v>
      </c>
      <c r="AM36" s="1942">
        <v>1</v>
      </c>
      <c r="AN36" s="1942">
        <v>0.3</v>
      </c>
      <c r="AO36" s="1942">
        <v>0.3</v>
      </c>
      <c r="AP36" s="1942">
        <v>0.3</v>
      </c>
      <c r="AQ36" s="1960"/>
      <c r="AR36" s="1942">
        <v>0.3</v>
      </c>
      <c r="AS36" s="1947">
        <v>0.3</v>
      </c>
      <c r="AT36" s="1948">
        <v>0.3</v>
      </c>
      <c r="AU36" s="1947">
        <v>0.3</v>
      </c>
      <c r="AV36" s="1947">
        <v>0.3</v>
      </c>
      <c r="AX36" s="1940">
        <v>3.1</v>
      </c>
      <c r="AY36" s="1944" t="s">
        <v>2083</v>
      </c>
      <c r="AZ36" s="1941" t="s">
        <v>1510</v>
      </c>
      <c r="BA36" s="1947">
        <v>0.3</v>
      </c>
      <c r="BB36" s="1947">
        <v>0.3</v>
      </c>
      <c r="BC36" s="1947">
        <v>0.5</v>
      </c>
      <c r="BD36" s="1947">
        <v>1</v>
      </c>
      <c r="BE36" s="1947">
        <v>0.3</v>
      </c>
      <c r="BF36" s="1947">
        <v>0.3</v>
      </c>
      <c r="BG36" s="1947">
        <v>0.3</v>
      </c>
      <c r="BH36" s="1949"/>
      <c r="BI36" s="1947">
        <v>0.3</v>
      </c>
      <c r="BJ36" s="1947">
        <v>0.3</v>
      </c>
      <c r="BK36" s="1948">
        <v>0.3</v>
      </c>
      <c r="BL36" s="1947">
        <v>0.3</v>
      </c>
      <c r="BM36" s="1947">
        <v>0.3</v>
      </c>
      <c r="BO36" s="1940">
        <v>3.1</v>
      </c>
      <c r="BP36" s="1944" t="s">
        <v>2083</v>
      </c>
      <c r="BQ36" s="1941" t="s">
        <v>3730</v>
      </c>
      <c r="BR36" s="1947">
        <v>0.3</v>
      </c>
      <c r="BS36" s="1947">
        <v>0.3</v>
      </c>
      <c r="BT36" s="1947">
        <v>0.5</v>
      </c>
      <c r="BU36" s="1947">
        <v>1</v>
      </c>
      <c r="BV36" s="1947">
        <v>0.3</v>
      </c>
      <c r="BW36" s="1947">
        <v>0.3</v>
      </c>
      <c r="BX36" s="1947">
        <v>0.3</v>
      </c>
      <c r="BY36" s="1949">
        <v>0.3</v>
      </c>
      <c r="BZ36" s="1947">
        <v>0.3</v>
      </c>
      <c r="CA36" s="1947">
        <v>0.3</v>
      </c>
      <c r="CB36" s="1948">
        <v>0.3</v>
      </c>
      <c r="CC36" s="1947">
        <v>0.3</v>
      </c>
      <c r="CD36" s="1947">
        <v>0.3</v>
      </c>
      <c r="CE36" s="2302"/>
      <c r="CG36" s="1940">
        <v>3.1</v>
      </c>
      <c r="CH36" s="1944" t="s">
        <v>2083</v>
      </c>
      <c r="CI36" s="1941" t="s">
        <v>1510</v>
      </c>
      <c r="CJ36" s="2943">
        <f t="shared" si="10"/>
        <v>0.3</v>
      </c>
      <c r="CK36" s="2943">
        <f t="shared" si="10"/>
        <v>0.3</v>
      </c>
      <c r="CL36" s="2943">
        <f t="shared" si="10"/>
        <v>0.5</v>
      </c>
      <c r="CM36" s="2943">
        <f t="shared" si="10"/>
        <v>1</v>
      </c>
      <c r="CN36" s="2943">
        <f t="shared" si="10"/>
        <v>0.3</v>
      </c>
      <c r="CO36" s="2943">
        <f t="shared" si="10"/>
        <v>0.3</v>
      </c>
      <c r="CP36" s="2943">
        <f t="shared" si="10"/>
        <v>0.3</v>
      </c>
      <c r="CQ36" s="2943">
        <f t="shared" si="10"/>
        <v>0.3</v>
      </c>
      <c r="CR36" s="2943">
        <f t="shared" si="10"/>
        <v>0.3</v>
      </c>
      <c r="CS36" s="2943">
        <f t="shared" si="10"/>
        <v>0.3</v>
      </c>
      <c r="CT36" s="2947">
        <f t="shared" si="9"/>
        <v>0.3</v>
      </c>
      <c r="CU36" s="2943">
        <f t="shared" si="9"/>
        <v>0.3</v>
      </c>
      <c r="CV36" s="2943">
        <f t="shared" si="9"/>
        <v>0.3</v>
      </c>
      <c r="CW36" s="2445"/>
      <c r="CX36" s="1940">
        <v>3.1</v>
      </c>
      <c r="CY36" s="1944" t="s">
        <v>2083</v>
      </c>
      <c r="CZ36" s="1941" t="s">
        <v>1510</v>
      </c>
      <c r="DA36" s="2945">
        <f t="shared" si="11"/>
        <v>0.3</v>
      </c>
      <c r="DB36" s="2945"/>
      <c r="DC36" s="2945"/>
      <c r="DD36" s="2945"/>
      <c r="DE36" s="2945"/>
      <c r="DF36" s="2945"/>
      <c r="DG36" s="2945"/>
      <c r="DH36" s="2945"/>
      <c r="DI36" s="2945"/>
      <c r="DJ36" s="2945"/>
      <c r="DK36" s="2949"/>
      <c r="DL36" s="2945"/>
      <c r="DM36" s="2945"/>
    </row>
    <row r="37" spans="1:117">
      <c r="B37" s="1914" t="str">
        <f t="shared" si="0"/>
        <v>3.1.1</v>
      </c>
      <c r="C37" s="1937" t="str">
        <f t="shared" si="1"/>
        <v>昼光率</v>
      </c>
      <c r="D37" s="1927">
        <f t="shared" ref="D37:E39" si="15">IF(I$36&gt;0,G37/I$36,0)</f>
        <v>1</v>
      </c>
      <c r="E37" s="1939">
        <f t="shared" si="15"/>
        <v>1</v>
      </c>
      <c r="G37" s="1939">
        <f t="shared" si="2"/>
        <v>0.6</v>
      </c>
      <c r="H37" s="1939">
        <f t="shared" si="3"/>
        <v>7.874015748031496E-3</v>
      </c>
      <c r="I37" s="1939"/>
      <c r="J37" s="1939"/>
      <c r="K37" s="1939">
        <f>IF(スコア!Q37=0,0,1)</f>
        <v>1</v>
      </c>
      <c r="L37" s="1939">
        <f>IF(スコア!T37=0,0,1)</f>
        <v>1</v>
      </c>
      <c r="M37" s="1939">
        <f t="shared" si="4"/>
        <v>0.6</v>
      </c>
      <c r="N37" s="1939">
        <f t="shared" si="5"/>
        <v>7.874015748031496E-3</v>
      </c>
      <c r="P37" s="1940" t="str">
        <f t="shared" si="6"/>
        <v>3.1.1</v>
      </c>
      <c r="Q37" s="1940" t="str">
        <f t="shared" si="6"/>
        <v xml:space="preserve"> Q1 3.1</v>
      </c>
      <c r="R37" s="1941" t="str">
        <f t="shared" si="6"/>
        <v>昼光率</v>
      </c>
      <c r="S37" s="1942">
        <f t="shared" si="6"/>
        <v>0.6</v>
      </c>
      <c r="T37" s="1942">
        <f t="shared" si="6"/>
        <v>0.6</v>
      </c>
      <c r="U37" s="1942">
        <f t="shared" si="6"/>
        <v>0</v>
      </c>
      <c r="V37" s="1942">
        <f t="shared" si="6"/>
        <v>0</v>
      </c>
      <c r="W37" s="1942">
        <f t="shared" si="6"/>
        <v>0.6</v>
      </c>
      <c r="X37" s="1942">
        <f t="shared" si="6"/>
        <v>0.6</v>
      </c>
      <c r="Y37" s="1942">
        <f t="shared" si="6"/>
        <v>0.6</v>
      </c>
      <c r="Z37" s="1960">
        <f t="shared" si="6"/>
        <v>0.6</v>
      </c>
      <c r="AA37" s="1942">
        <f t="shared" si="6"/>
        <v>0.6</v>
      </c>
      <c r="AB37" s="1942">
        <f t="shared" si="8"/>
        <v>0.6</v>
      </c>
      <c r="AC37" s="1943">
        <f t="shared" si="8"/>
        <v>0.6</v>
      </c>
      <c r="AD37" s="1942">
        <f t="shared" si="8"/>
        <v>0.6</v>
      </c>
      <c r="AE37" s="1942">
        <f t="shared" si="8"/>
        <v>0.5</v>
      </c>
      <c r="AG37" s="1940" t="s">
        <v>924</v>
      </c>
      <c r="AH37" s="1944" t="s">
        <v>2084</v>
      </c>
      <c r="AI37" s="1945" t="s">
        <v>2085</v>
      </c>
      <c r="AJ37" s="1942">
        <v>0.6</v>
      </c>
      <c r="AK37" s="1942">
        <v>0.6</v>
      </c>
      <c r="AL37" s="1942"/>
      <c r="AM37" s="1942"/>
      <c r="AN37" s="1942">
        <v>0.6</v>
      </c>
      <c r="AO37" s="1942">
        <v>0.6</v>
      </c>
      <c r="AP37" s="1942">
        <v>0.6</v>
      </c>
      <c r="AQ37" s="1960"/>
      <c r="AR37" s="1942">
        <v>0.6</v>
      </c>
      <c r="AS37" s="1947">
        <v>0.6</v>
      </c>
      <c r="AT37" s="1948">
        <v>0.6</v>
      </c>
      <c r="AU37" s="1947">
        <v>0.6</v>
      </c>
      <c r="AV37" s="1947">
        <v>0.5</v>
      </c>
      <c r="AX37" s="1940" t="s">
        <v>924</v>
      </c>
      <c r="AY37" s="1944" t="s">
        <v>2084</v>
      </c>
      <c r="AZ37" s="1945" t="s">
        <v>2085</v>
      </c>
      <c r="BA37" s="1947">
        <v>0.6</v>
      </c>
      <c r="BB37" s="1947">
        <v>0.6</v>
      </c>
      <c r="BC37" s="1947"/>
      <c r="BD37" s="1947"/>
      <c r="BE37" s="1947">
        <v>0.6</v>
      </c>
      <c r="BF37" s="1947">
        <v>0.6</v>
      </c>
      <c r="BG37" s="1947">
        <v>0.6</v>
      </c>
      <c r="BH37" s="1949"/>
      <c r="BI37" s="1947">
        <v>0.6</v>
      </c>
      <c r="BJ37" s="1947">
        <v>0.6</v>
      </c>
      <c r="BK37" s="1948">
        <v>0.6</v>
      </c>
      <c r="BL37" s="1947">
        <v>0.6</v>
      </c>
      <c r="BM37" s="1947">
        <v>0.5</v>
      </c>
      <c r="BO37" s="1940" t="s">
        <v>3675</v>
      </c>
      <c r="BP37" s="1944" t="s">
        <v>2084</v>
      </c>
      <c r="BQ37" s="1945" t="s">
        <v>2085</v>
      </c>
      <c r="BR37" s="1947">
        <v>0.6</v>
      </c>
      <c r="BS37" s="1947">
        <v>0.6</v>
      </c>
      <c r="BT37" s="1947"/>
      <c r="BU37" s="1947"/>
      <c r="BV37" s="1947">
        <v>0.6</v>
      </c>
      <c r="BW37" s="1947">
        <v>0.6</v>
      </c>
      <c r="BX37" s="1947">
        <v>0.6</v>
      </c>
      <c r="BY37" s="1949">
        <v>0.6</v>
      </c>
      <c r="BZ37" s="1947">
        <v>0.6</v>
      </c>
      <c r="CA37" s="1947">
        <v>0.6</v>
      </c>
      <c r="CB37" s="1948">
        <v>0.6</v>
      </c>
      <c r="CC37" s="1947">
        <v>0.6</v>
      </c>
      <c r="CD37" s="1947">
        <v>0.5</v>
      </c>
      <c r="CE37" s="2302"/>
      <c r="CG37" s="1940" t="s">
        <v>3489</v>
      </c>
      <c r="CH37" s="1944" t="s">
        <v>2084</v>
      </c>
      <c r="CI37" s="1945" t="s">
        <v>2085</v>
      </c>
      <c r="CJ37" s="2943">
        <f t="shared" si="10"/>
        <v>0.6</v>
      </c>
      <c r="CK37" s="2943">
        <f t="shared" si="10"/>
        <v>0.6</v>
      </c>
      <c r="CL37" s="2943">
        <f t="shared" si="10"/>
        <v>0</v>
      </c>
      <c r="CM37" s="2943">
        <f t="shared" si="10"/>
        <v>0</v>
      </c>
      <c r="CN37" s="2943">
        <f t="shared" si="10"/>
        <v>0.6</v>
      </c>
      <c r="CO37" s="2943">
        <f t="shared" si="10"/>
        <v>0.6</v>
      </c>
      <c r="CP37" s="2943">
        <f t="shared" si="10"/>
        <v>0.6</v>
      </c>
      <c r="CQ37" s="2943">
        <f t="shared" si="10"/>
        <v>0.6</v>
      </c>
      <c r="CR37" s="2943">
        <f t="shared" si="10"/>
        <v>0.6</v>
      </c>
      <c r="CS37" s="2943">
        <f t="shared" si="10"/>
        <v>0.6</v>
      </c>
      <c r="CT37" s="2947">
        <f t="shared" si="9"/>
        <v>0.6</v>
      </c>
      <c r="CU37" s="2943">
        <f t="shared" si="9"/>
        <v>0.6</v>
      </c>
      <c r="CV37" s="2943">
        <f t="shared" si="9"/>
        <v>0.5</v>
      </c>
      <c r="CW37" s="2445"/>
      <c r="CX37" s="1940" t="s">
        <v>3489</v>
      </c>
      <c r="CY37" s="1944" t="s">
        <v>2084</v>
      </c>
      <c r="CZ37" s="1945" t="s">
        <v>2085</v>
      </c>
      <c r="DA37" s="2945">
        <f t="shared" si="11"/>
        <v>0.6</v>
      </c>
      <c r="DB37" s="2945"/>
      <c r="DC37" s="2945"/>
      <c r="DD37" s="2945"/>
      <c r="DE37" s="2945"/>
      <c r="DF37" s="2945"/>
      <c r="DG37" s="2945"/>
      <c r="DH37" s="2945"/>
      <c r="DI37" s="2945"/>
      <c r="DJ37" s="2945"/>
      <c r="DK37" s="2949"/>
      <c r="DL37" s="2945"/>
      <c r="DM37" s="2945"/>
    </row>
    <row r="38" spans="1:117">
      <c r="B38" s="1914" t="str">
        <f t="shared" si="0"/>
        <v>3.1.2</v>
      </c>
      <c r="C38" s="1937" t="str">
        <f t="shared" si="1"/>
        <v>方位別開口</v>
      </c>
      <c r="D38" s="1927">
        <f t="shared" si="15"/>
        <v>0</v>
      </c>
      <c r="E38" s="1939">
        <f t="shared" si="15"/>
        <v>0</v>
      </c>
      <c r="G38" s="1939">
        <f t="shared" si="2"/>
        <v>0</v>
      </c>
      <c r="H38" s="1939">
        <f t="shared" si="3"/>
        <v>0</v>
      </c>
      <c r="I38" s="1939"/>
      <c r="J38" s="1939"/>
      <c r="K38" s="1939">
        <f>IF(スコア!Q38=0,0,1)</f>
        <v>0</v>
      </c>
      <c r="L38" s="1939">
        <f>IF(スコア!T38=0,0,1)</f>
        <v>0</v>
      </c>
      <c r="M38" s="1939">
        <f t="shared" si="4"/>
        <v>0</v>
      </c>
      <c r="N38" s="1939">
        <f t="shared" si="5"/>
        <v>4.7244094488188976E-3</v>
      </c>
      <c r="P38" s="1940" t="str">
        <f t="shared" si="6"/>
        <v>3.1.2</v>
      </c>
      <c r="Q38" s="1940" t="str">
        <f t="shared" si="6"/>
        <v xml:space="preserve"> Q1 3.1</v>
      </c>
      <c r="R38" s="1941" t="str">
        <f t="shared" si="6"/>
        <v>方位別開口</v>
      </c>
      <c r="S38" s="1942">
        <f t="shared" si="6"/>
        <v>0</v>
      </c>
      <c r="T38" s="1942">
        <f t="shared" si="6"/>
        <v>0</v>
      </c>
      <c r="U38" s="1942">
        <f t="shared" si="6"/>
        <v>0</v>
      </c>
      <c r="V38" s="1942">
        <f t="shared" si="6"/>
        <v>0</v>
      </c>
      <c r="W38" s="1942">
        <f t="shared" si="6"/>
        <v>0</v>
      </c>
      <c r="X38" s="1942">
        <f t="shared" si="6"/>
        <v>0</v>
      </c>
      <c r="Y38" s="1942">
        <f t="shared" si="6"/>
        <v>0</v>
      </c>
      <c r="Z38" s="1960">
        <f t="shared" si="6"/>
        <v>0</v>
      </c>
      <c r="AA38" s="1942">
        <f t="shared" si="6"/>
        <v>0</v>
      </c>
      <c r="AB38" s="1942">
        <f t="shared" si="8"/>
        <v>0</v>
      </c>
      <c r="AC38" s="1943">
        <f t="shared" si="8"/>
        <v>0</v>
      </c>
      <c r="AD38" s="1942">
        <f t="shared" si="8"/>
        <v>0</v>
      </c>
      <c r="AE38" s="1942">
        <f t="shared" si="8"/>
        <v>0.3</v>
      </c>
      <c r="AG38" s="1940" t="s">
        <v>925</v>
      </c>
      <c r="AH38" s="1944" t="s">
        <v>2084</v>
      </c>
      <c r="AI38" s="1945" t="s">
        <v>2086</v>
      </c>
      <c r="AJ38" s="1942"/>
      <c r="AK38" s="1942"/>
      <c r="AL38" s="1942"/>
      <c r="AM38" s="1942"/>
      <c r="AN38" s="1942"/>
      <c r="AO38" s="1942"/>
      <c r="AP38" s="1942"/>
      <c r="AQ38" s="1960"/>
      <c r="AR38" s="1942"/>
      <c r="AS38" s="1947"/>
      <c r="AT38" s="1948"/>
      <c r="AU38" s="1947"/>
      <c r="AV38" s="1947">
        <v>0.3</v>
      </c>
      <c r="AX38" s="1940" t="s">
        <v>925</v>
      </c>
      <c r="AY38" s="1944" t="s">
        <v>2084</v>
      </c>
      <c r="AZ38" s="1945" t="s">
        <v>2086</v>
      </c>
      <c r="BA38" s="1947"/>
      <c r="BB38" s="1947"/>
      <c r="BC38" s="1947"/>
      <c r="BD38" s="1947"/>
      <c r="BE38" s="1947"/>
      <c r="BF38" s="1947"/>
      <c r="BG38" s="1947"/>
      <c r="BH38" s="1949"/>
      <c r="BI38" s="1947"/>
      <c r="BJ38" s="1947"/>
      <c r="BK38" s="1948"/>
      <c r="BL38" s="1947"/>
      <c r="BM38" s="1947">
        <v>0.3</v>
      </c>
      <c r="BO38" s="1940" t="s">
        <v>3676</v>
      </c>
      <c r="BP38" s="1944" t="s">
        <v>2084</v>
      </c>
      <c r="BQ38" s="1945" t="s">
        <v>2086</v>
      </c>
      <c r="BR38" s="1947"/>
      <c r="BS38" s="1947"/>
      <c r="BT38" s="1947"/>
      <c r="BU38" s="1947"/>
      <c r="BV38" s="1947"/>
      <c r="BW38" s="1947"/>
      <c r="BX38" s="1947"/>
      <c r="BY38" s="1949"/>
      <c r="BZ38" s="1947"/>
      <c r="CA38" s="1947"/>
      <c r="CB38" s="1948"/>
      <c r="CC38" s="1947"/>
      <c r="CD38" s="1947">
        <v>0.3</v>
      </c>
      <c r="CE38" s="2302"/>
      <c r="CG38" s="1940" t="s">
        <v>3490</v>
      </c>
      <c r="CH38" s="1944" t="s">
        <v>2084</v>
      </c>
      <c r="CI38" s="1945" t="s">
        <v>2086</v>
      </c>
      <c r="CJ38" s="2943">
        <f t="shared" si="10"/>
        <v>0</v>
      </c>
      <c r="CK38" s="2943">
        <f t="shared" si="10"/>
        <v>0</v>
      </c>
      <c r="CL38" s="2943">
        <f t="shared" si="10"/>
        <v>0</v>
      </c>
      <c r="CM38" s="2943">
        <f t="shared" si="10"/>
        <v>0</v>
      </c>
      <c r="CN38" s="2943">
        <f t="shared" si="10"/>
        <v>0</v>
      </c>
      <c r="CO38" s="2943">
        <f t="shared" si="10"/>
        <v>0</v>
      </c>
      <c r="CP38" s="2943">
        <f t="shared" si="10"/>
        <v>0</v>
      </c>
      <c r="CQ38" s="2943">
        <f t="shared" si="10"/>
        <v>0</v>
      </c>
      <c r="CR38" s="2943">
        <f t="shared" si="10"/>
        <v>0</v>
      </c>
      <c r="CS38" s="2943">
        <f t="shared" si="10"/>
        <v>0</v>
      </c>
      <c r="CT38" s="2947">
        <f t="shared" si="9"/>
        <v>0</v>
      </c>
      <c r="CU38" s="2943">
        <f t="shared" si="9"/>
        <v>0</v>
      </c>
      <c r="CV38" s="2943">
        <f t="shared" si="9"/>
        <v>0.3</v>
      </c>
      <c r="CW38" s="2445"/>
      <c r="CX38" s="1940" t="s">
        <v>3490</v>
      </c>
      <c r="CY38" s="1944" t="s">
        <v>2084</v>
      </c>
      <c r="CZ38" s="1945" t="s">
        <v>2086</v>
      </c>
      <c r="DA38" s="2945">
        <f t="shared" si="11"/>
        <v>0</v>
      </c>
      <c r="DB38" s="2945"/>
      <c r="DC38" s="2945"/>
      <c r="DD38" s="2945"/>
      <c r="DE38" s="2945"/>
      <c r="DF38" s="2945"/>
      <c r="DG38" s="2945"/>
      <c r="DH38" s="2945"/>
      <c r="DI38" s="2945"/>
      <c r="DJ38" s="2945"/>
      <c r="DK38" s="2949"/>
      <c r="DL38" s="2945"/>
      <c r="DM38" s="2945"/>
    </row>
    <row r="39" spans="1:117">
      <c r="B39" s="1914" t="str">
        <f t="shared" si="0"/>
        <v>3.1.3</v>
      </c>
      <c r="C39" s="1937" t="str">
        <f t="shared" si="1"/>
        <v>昼光利用設備</v>
      </c>
      <c r="D39" s="1927">
        <f t="shared" si="15"/>
        <v>0</v>
      </c>
      <c r="E39" s="1939">
        <f t="shared" si="15"/>
        <v>0</v>
      </c>
      <c r="G39" s="1939">
        <f t="shared" si="2"/>
        <v>0</v>
      </c>
      <c r="H39" s="1939">
        <f t="shared" si="3"/>
        <v>0</v>
      </c>
      <c r="I39" s="1939"/>
      <c r="J39" s="1939"/>
      <c r="K39" s="1939">
        <f>IF(スコア!Q39=0,0,1)</f>
        <v>0</v>
      </c>
      <c r="L39" s="1939">
        <f>IF(スコア!T39=0,0,1)</f>
        <v>0</v>
      </c>
      <c r="M39" s="1939">
        <f t="shared" si="4"/>
        <v>0.4</v>
      </c>
      <c r="N39" s="1939">
        <f t="shared" si="5"/>
        <v>3.1496062992125984E-3</v>
      </c>
      <c r="P39" s="1940" t="str">
        <f t="shared" si="6"/>
        <v>3.1.3</v>
      </c>
      <c r="Q39" s="1940" t="str">
        <f t="shared" si="6"/>
        <v xml:space="preserve"> Q1 3.1</v>
      </c>
      <c r="R39" s="1941" t="str">
        <f t="shared" si="6"/>
        <v>昼光利用設備</v>
      </c>
      <c r="S39" s="1942">
        <f t="shared" si="6"/>
        <v>0.4</v>
      </c>
      <c r="T39" s="1942">
        <f t="shared" si="6"/>
        <v>0.4</v>
      </c>
      <c r="U39" s="1942">
        <f t="shared" si="6"/>
        <v>1</v>
      </c>
      <c r="V39" s="1942">
        <f t="shared" si="6"/>
        <v>1</v>
      </c>
      <c r="W39" s="1942">
        <f t="shared" si="6"/>
        <v>0.4</v>
      </c>
      <c r="X39" s="1942">
        <f t="shared" si="6"/>
        <v>0.4</v>
      </c>
      <c r="Y39" s="1942">
        <f t="shared" si="6"/>
        <v>0.4</v>
      </c>
      <c r="Z39" s="1960">
        <f t="shared" si="6"/>
        <v>0.4</v>
      </c>
      <c r="AA39" s="1942">
        <f t="shared" si="6"/>
        <v>0.4</v>
      </c>
      <c r="AB39" s="1942">
        <f t="shared" si="8"/>
        <v>0.4</v>
      </c>
      <c r="AC39" s="1943">
        <f t="shared" si="8"/>
        <v>0.4</v>
      </c>
      <c r="AD39" s="1942">
        <f t="shared" si="8"/>
        <v>0.4</v>
      </c>
      <c r="AE39" s="1942">
        <f t="shared" si="8"/>
        <v>0.2</v>
      </c>
      <c r="AG39" s="1940" t="s">
        <v>926</v>
      </c>
      <c r="AH39" s="1944" t="s">
        <v>2084</v>
      </c>
      <c r="AI39" s="1945" t="s">
        <v>2087</v>
      </c>
      <c r="AJ39" s="1942">
        <v>0.4</v>
      </c>
      <c r="AK39" s="1942">
        <v>0.4</v>
      </c>
      <c r="AL39" s="1942">
        <v>1</v>
      </c>
      <c r="AM39" s="1942">
        <v>1</v>
      </c>
      <c r="AN39" s="1942">
        <v>0.4</v>
      </c>
      <c r="AO39" s="1942">
        <v>0.4</v>
      </c>
      <c r="AP39" s="1942">
        <v>0.4</v>
      </c>
      <c r="AQ39" s="1960"/>
      <c r="AR39" s="1942">
        <v>0.4</v>
      </c>
      <c r="AS39" s="1947">
        <v>0.4</v>
      </c>
      <c r="AT39" s="1948">
        <v>0.4</v>
      </c>
      <c r="AU39" s="1947">
        <v>0.4</v>
      </c>
      <c r="AV39" s="1947">
        <v>0.2</v>
      </c>
      <c r="AX39" s="1940" t="s">
        <v>926</v>
      </c>
      <c r="AY39" s="1944" t="s">
        <v>2084</v>
      </c>
      <c r="AZ39" s="1945" t="s">
        <v>2087</v>
      </c>
      <c r="BA39" s="1947">
        <v>0.4</v>
      </c>
      <c r="BB39" s="1947">
        <v>0.4</v>
      </c>
      <c r="BC39" s="1947">
        <v>1</v>
      </c>
      <c r="BD39" s="1947">
        <v>1</v>
      </c>
      <c r="BE39" s="1947">
        <v>0.4</v>
      </c>
      <c r="BF39" s="1947">
        <v>0.4</v>
      </c>
      <c r="BG39" s="1947">
        <v>0.4</v>
      </c>
      <c r="BH39" s="1949"/>
      <c r="BI39" s="1947">
        <v>0.4</v>
      </c>
      <c r="BJ39" s="1947">
        <v>0.4</v>
      </c>
      <c r="BK39" s="1948">
        <v>0.4</v>
      </c>
      <c r="BL39" s="1947">
        <v>0.4</v>
      </c>
      <c r="BM39" s="1947">
        <v>0.2</v>
      </c>
      <c r="BO39" s="1940" t="s">
        <v>3677</v>
      </c>
      <c r="BP39" s="1944" t="s">
        <v>2084</v>
      </c>
      <c r="BQ39" s="1945" t="s">
        <v>2087</v>
      </c>
      <c r="BR39" s="1947">
        <v>0.4</v>
      </c>
      <c r="BS39" s="1947">
        <v>0.4</v>
      </c>
      <c r="BT39" s="1947">
        <v>1</v>
      </c>
      <c r="BU39" s="1947">
        <v>1</v>
      </c>
      <c r="BV39" s="1947">
        <v>0.4</v>
      </c>
      <c r="BW39" s="1947">
        <v>0.4</v>
      </c>
      <c r="BX39" s="1947">
        <v>0.4</v>
      </c>
      <c r="BY39" s="1949">
        <v>0.4</v>
      </c>
      <c r="BZ39" s="1947">
        <v>0.4</v>
      </c>
      <c r="CA39" s="1947">
        <v>0.4</v>
      </c>
      <c r="CB39" s="1948">
        <v>0.4</v>
      </c>
      <c r="CC39" s="1947">
        <v>0.4</v>
      </c>
      <c r="CD39" s="1947">
        <v>0.2</v>
      </c>
      <c r="CE39" s="2302"/>
      <c r="CG39" s="1940" t="s">
        <v>3491</v>
      </c>
      <c r="CH39" s="1944" t="s">
        <v>2084</v>
      </c>
      <c r="CI39" s="1945" t="s">
        <v>2087</v>
      </c>
      <c r="CJ39" s="2943">
        <f t="shared" si="10"/>
        <v>0.4</v>
      </c>
      <c r="CK39" s="2943">
        <f t="shared" si="10"/>
        <v>0.4</v>
      </c>
      <c r="CL39" s="2943">
        <f t="shared" si="10"/>
        <v>1</v>
      </c>
      <c r="CM39" s="2943">
        <f t="shared" si="10"/>
        <v>1</v>
      </c>
      <c r="CN39" s="2943">
        <f t="shared" si="10"/>
        <v>0.4</v>
      </c>
      <c r="CO39" s="2943">
        <f t="shared" si="10"/>
        <v>0.4</v>
      </c>
      <c r="CP39" s="2943">
        <f t="shared" si="10"/>
        <v>0.4</v>
      </c>
      <c r="CQ39" s="2943">
        <f t="shared" si="10"/>
        <v>0.4</v>
      </c>
      <c r="CR39" s="2943">
        <f t="shared" si="10"/>
        <v>0.4</v>
      </c>
      <c r="CS39" s="2943">
        <f t="shared" si="10"/>
        <v>0.4</v>
      </c>
      <c r="CT39" s="2947">
        <f t="shared" si="9"/>
        <v>0.4</v>
      </c>
      <c r="CU39" s="2943">
        <f t="shared" si="9"/>
        <v>0.4</v>
      </c>
      <c r="CV39" s="2943">
        <f t="shared" si="9"/>
        <v>0.2</v>
      </c>
      <c r="CW39" s="2445"/>
      <c r="CX39" s="1940" t="s">
        <v>3491</v>
      </c>
      <c r="CY39" s="1944" t="s">
        <v>2084</v>
      </c>
      <c r="CZ39" s="1945" t="s">
        <v>2087</v>
      </c>
      <c r="DA39" s="2945">
        <f t="shared" si="11"/>
        <v>0.4</v>
      </c>
      <c r="DB39" s="2945"/>
      <c r="DC39" s="2945"/>
      <c r="DD39" s="2945"/>
      <c r="DE39" s="2945"/>
      <c r="DF39" s="2945"/>
      <c r="DG39" s="2945"/>
      <c r="DH39" s="2945"/>
      <c r="DI39" s="2945"/>
      <c r="DJ39" s="2945"/>
      <c r="DK39" s="2949"/>
      <c r="DL39" s="2945"/>
      <c r="DM39" s="2945"/>
    </row>
    <row r="40" spans="1:117">
      <c r="B40" s="1914">
        <f t="shared" si="0"/>
        <v>3.2</v>
      </c>
      <c r="C40" s="1937" t="str">
        <f t="shared" si="1"/>
        <v>グレア対策</v>
      </c>
      <c r="D40" s="1938">
        <f>IF(I$35=0,0,G40/I$35)</f>
        <v>0.3</v>
      </c>
      <c r="E40" s="1939">
        <f>IF(J$35=0,0,H40/J$35)</f>
        <v>0.3</v>
      </c>
      <c r="G40" s="1939">
        <f t="shared" si="2"/>
        <v>0.3</v>
      </c>
      <c r="H40" s="1939">
        <f t="shared" si="3"/>
        <v>4.7244094488188976E-3</v>
      </c>
      <c r="I40" s="1939">
        <f>SUM(G41:G43)</f>
        <v>1</v>
      </c>
      <c r="J40" s="1939">
        <f>SUM(H41:H43)</f>
        <v>1.5748031496062992E-2</v>
      </c>
      <c r="K40" s="1939">
        <f>IF(スコア!Q40=0,0,1)</f>
        <v>1</v>
      </c>
      <c r="L40" s="1939">
        <f>IF(スコア!T40=0,0,1)</f>
        <v>1</v>
      </c>
      <c r="M40" s="1939">
        <f t="shared" si="4"/>
        <v>0.3</v>
      </c>
      <c r="N40" s="1939">
        <f t="shared" si="5"/>
        <v>4.7244094488188976E-3</v>
      </c>
      <c r="P40" s="1940">
        <f t="shared" si="6"/>
        <v>3.2</v>
      </c>
      <c r="Q40" s="1940" t="str">
        <f t="shared" si="6"/>
        <v xml:space="preserve"> Q1 3</v>
      </c>
      <c r="R40" s="1941" t="str">
        <f t="shared" si="6"/>
        <v>グレア対策</v>
      </c>
      <c r="S40" s="1942">
        <f t="shared" si="6"/>
        <v>0.3</v>
      </c>
      <c r="T40" s="1942">
        <f t="shared" si="6"/>
        <v>0.3</v>
      </c>
      <c r="U40" s="1942">
        <f t="shared" si="6"/>
        <v>0</v>
      </c>
      <c r="V40" s="1942">
        <f t="shared" si="6"/>
        <v>0</v>
      </c>
      <c r="W40" s="1942">
        <f t="shared" si="6"/>
        <v>0.3</v>
      </c>
      <c r="X40" s="1942">
        <f t="shared" si="6"/>
        <v>0.3</v>
      </c>
      <c r="Y40" s="1942">
        <f t="shared" si="6"/>
        <v>0.3</v>
      </c>
      <c r="Z40" s="1960">
        <f t="shared" si="6"/>
        <v>0</v>
      </c>
      <c r="AA40" s="1942">
        <f t="shared" si="6"/>
        <v>0.3</v>
      </c>
      <c r="AB40" s="1942">
        <f t="shared" si="8"/>
        <v>0.3</v>
      </c>
      <c r="AC40" s="1943">
        <f t="shared" si="8"/>
        <v>0.3</v>
      </c>
      <c r="AD40" s="1942">
        <f t="shared" si="8"/>
        <v>0.3</v>
      </c>
      <c r="AE40" s="1942">
        <f t="shared" si="8"/>
        <v>0.3</v>
      </c>
      <c r="AG40" s="1940">
        <v>3.2</v>
      </c>
      <c r="AH40" s="1944" t="s">
        <v>2083</v>
      </c>
      <c r="AI40" s="1945" t="s">
        <v>1514</v>
      </c>
      <c r="AJ40" s="1942">
        <v>0.3</v>
      </c>
      <c r="AK40" s="1942">
        <v>0.3</v>
      </c>
      <c r="AL40" s="1942"/>
      <c r="AM40" s="1942"/>
      <c r="AN40" s="1942">
        <v>0.3</v>
      </c>
      <c r="AO40" s="1942">
        <v>0.3</v>
      </c>
      <c r="AP40" s="1942">
        <v>0.3</v>
      </c>
      <c r="AQ40" s="1960"/>
      <c r="AR40" s="1942">
        <v>0.3</v>
      </c>
      <c r="AS40" s="1947">
        <v>0.3</v>
      </c>
      <c r="AT40" s="1948">
        <v>0.3</v>
      </c>
      <c r="AU40" s="1947">
        <v>0.3</v>
      </c>
      <c r="AV40" s="1947">
        <v>0.3</v>
      </c>
      <c r="AX40" s="1940">
        <v>3.2</v>
      </c>
      <c r="AY40" s="1944" t="s">
        <v>2083</v>
      </c>
      <c r="AZ40" s="1945" t="s">
        <v>1514</v>
      </c>
      <c r="BA40" s="1947">
        <v>0.3</v>
      </c>
      <c r="BB40" s="1947">
        <v>0.3</v>
      </c>
      <c r="BC40" s="1947"/>
      <c r="BD40" s="1947"/>
      <c r="BE40" s="1947">
        <v>0.3</v>
      </c>
      <c r="BF40" s="1947">
        <v>0.3</v>
      </c>
      <c r="BG40" s="1947">
        <v>0.3</v>
      </c>
      <c r="BH40" s="1949"/>
      <c r="BI40" s="1947">
        <v>0.3</v>
      </c>
      <c r="BJ40" s="1947">
        <v>0.3</v>
      </c>
      <c r="BK40" s="1948">
        <v>0.3</v>
      </c>
      <c r="BL40" s="1947">
        <v>0.3</v>
      </c>
      <c r="BM40" s="1947">
        <v>0.3</v>
      </c>
      <c r="BO40" s="1940">
        <v>3.2</v>
      </c>
      <c r="BP40" s="1944" t="s">
        <v>2083</v>
      </c>
      <c r="BQ40" s="1945" t="s">
        <v>3731</v>
      </c>
      <c r="BR40" s="1947">
        <v>0.3</v>
      </c>
      <c r="BS40" s="1947">
        <v>0.3</v>
      </c>
      <c r="BT40" s="1947"/>
      <c r="BU40" s="1947"/>
      <c r="BV40" s="1947">
        <v>0.3</v>
      </c>
      <c r="BW40" s="1947">
        <v>0.3</v>
      </c>
      <c r="BX40" s="1947">
        <v>0.3</v>
      </c>
      <c r="BY40" s="1949"/>
      <c r="BZ40" s="1947">
        <v>0.3</v>
      </c>
      <c r="CA40" s="1947">
        <v>0.3</v>
      </c>
      <c r="CB40" s="1948">
        <v>0.3</v>
      </c>
      <c r="CC40" s="1947">
        <v>0.3</v>
      </c>
      <c r="CD40" s="1947">
        <v>0.3</v>
      </c>
      <c r="CE40" s="2302"/>
      <c r="CG40" s="1940">
        <v>3.2</v>
      </c>
      <c r="CH40" s="1944" t="s">
        <v>2083</v>
      </c>
      <c r="CI40" s="1945" t="s">
        <v>1514</v>
      </c>
      <c r="CJ40" s="2943">
        <f t="shared" si="10"/>
        <v>0.3</v>
      </c>
      <c r="CK40" s="2943">
        <f t="shared" si="10"/>
        <v>0.3</v>
      </c>
      <c r="CL40" s="2943">
        <f t="shared" si="10"/>
        <v>0</v>
      </c>
      <c r="CM40" s="2943">
        <f t="shared" si="10"/>
        <v>0</v>
      </c>
      <c r="CN40" s="2943">
        <f t="shared" si="10"/>
        <v>0.3</v>
      </c>
      <c r="CO40" s="2943">
        <f t="shared" si="10"/>
        <v>0.3</v>
      </c>
      <c r="CP40" s="2943">
        <f t="shared" si="10"/>
        <v>0.3</v>
      </c>
      <c r="CQ40" s="2943">
        <f t="shared" si="10"/>
        <v>0</v>
      </c>
      <c r="CR40" s="2943">
        <f t="shared" si="10"/>
        <v>0.3</v>
      </c>
      <c r="CS40" s="2943">
        <f t="shared" si="10"/>
        <v>0.3</v>
      </c>
      <c r="CT40" s="2947">
        <f t="shared" si="9"/>
        <v>0.3</v>
      </c>
      <c r="CU40" s="2943">
        <f t="shared" si="9"/>
        <v>0.3</v>
      </c>
      <c r="CV40" s="2943">
        <f t="shared" si="9"/>
        <v>0.3</v>
      </c>
      <c r="CW40" s="2445"/>
      <c r="CX40" s="1940">
        <v>3.2</v>
      </c>
      <c r="CY40" s="1944" t="s">
        <v>2083</v>
      </c>
      <c r="CZ40" s="1945" t="s">
        <v>1514</v>
      </c>
      <c r="DA40" s="2945">
        <f t="shared" si="11"/>
        <v>0.3</v>
      </c>
      <c r="DB40" s="2945"/>
      <c r="DC40" s="2945"/>
      <c r="DD40" s="2945"/>
      <c r="DE40" s="2945"/>
      <c r="DF40" s="2945"/>
      <c r="DG40" s="2945"/>
      <c r="DH40" s="2945"/>
      <c r="DI40" s="2945"/>
      <c r="DJ40" s="2945"/>
      <c r="DK40" s="2949"/>
      <c r="DL40" s="2945"/>
      <c r="DM40" s="2945"/>
    </row>
    <row r="41" spans="1:117" hidden="1">
      <c r="B41" s="1914" t="str">
        <f t="shared" si="0"/>
        <v>3.2.1</v>
      </c>
      <c r="C41" s="1937">
        <f t="shared" si="1"/>
        <v>0</v>
      </c>
      <c r="D41" s="1927">
        <f t="shared" ref="D41:E43" si="16">IF(I$40&gt;0,G41/I$40,0)</f>
        <v>0</v>
      </c>
      <c r="E41" s="1939">
        <f t="shared" si="16"/>
        <v>0</v>
      </c>
      <c r="G41" s="1939">
        <f t="shared" si="2"/>
        <v>0</v>
      </c>
      <c r="H41" s="1939">
        <f t="shared" si="3"/>
        <v>0</v>
      </c>
      <c r="I41" s="1939"/>
      <c r="J41" s="1939"/>
      <c r="K41" s="1939">
        <f>IF(スコア!Q41=0,0,1)</f>
        <v>0</v>
      </c>
      <c r="L41" s="1939">
        <f>IF(スコア!T41=0,0,1)</f>
        <v>0</v>
      </c>
      <c r="M41" s="1939">
        <f t="shared" si="4"/>
        <v>0</v>
      </c>
      <c r="N41" s="1939">
        <f t="shared" si="5"/>
        <v>0</v>
      </c>
      <c r="P41" s="1940" t="str">
        <f t="shared" ref="P41:AA62" si="17">IF($P$3=1,AX41,IF($P$3=2,BO41,IF($P$3=3,CG41,IF($P$3=4,CX41,AG41))))</f>
        <v>3.2.1</v>
      </c>
      <c r="Q41" s="1940" t="str">
        <f t="shared" si="17"/>
        <v xml:space="preserve"> Q1 3.2</v>
      </c>
      <c r="R41" s="1941">
        <f t="shared" si="17"/>
        <v>0</v>
      </c>
      <c r="S41" s="1942">
        <f t="shared" si="17"/>
        <v>0</v>
      </c>
      <c r="T41" s="1942">
        <f t="shared" si="17"/>
        <v>0</v>
      </c>
      <c r="U41" s="1942">
        <f t="shared" si="17"/>
        <v>0</v>
      </c>
      <c r="V41" s="1942">
        <f t="shared" si="17"/>
        <v>0</v>
      </c>
      <c r="W41" s="1942">
        <f t="shared" si="17"/>
        <v>0</v>
      </c>
      <c r="X41" s="1942">
        <f t="shared" si="17"/>
        <v>0</v>
      </c>
      <c r="Y41" s="1942">
        <f t="shared" si="17"/>
        <v>0</v>
      </c>
      <c r="Z41" s="1960">
        <f t="shared" si="17"/>
        <v>0</v>
      </c>
      <c r="AA41" s="1942">
        <f t="shared" si="17"/>
        <v>0</v>
      </c>
      <c r="AB41" s="1942">
        <f t="shared" si="8"/>
        <v>0</v>
      </c>
      <c r="AC41" s="1943">
        <f t="shared" si="8"/>
        <v>0</v>
      </c>
      <c r="AD41" s="1942">
        <f t="shared" si="8"/>
        <v>0</v>
      </c>
      <c r="AE41" s="1942">
        <f t="shared" si="8"/>
        <v>0</v>
      </c>
      <c r="AG41" s="1940" t="s">
        <v>927</v>
      </c>
      <c r="AH41" s="1944" t="s">
        <v>2088</v>
      </c>
      <c r="AI41" s="1945" t="s">
        <v>2089</v>
      </c>
      <c r="AJ41" s="1952">
        <v>0.4</v>
      </c>
      <c r="AK41" s="1952">
        <v>0.4</v>
      </c>
      <c r="AL41" s="1952"/>
      <c r="AM41" s="1952"/>
      <c r="AN41" s="1952">
        <v>0.4</v>
      </c>
      <c r="AO41" s="1952">
        <v>0.4</v>
      </c>
      <c r="AP41" s="1952">
        <v>0.4</v>
      </c>
      <c r="AQ41" s="1962"/>
      <c r="AR41" s="1952">
        <v>0.4</v>
      </c>
      <c r="AS41" s="1964">
        <v>0.3</v>
      </c>
      <c r="AT41" s="1948">
        <v>0.4</v>
      </c>
      <c r="AU41" s="1947">
        <v>0.4</v>
      </c>
      <c r="AV41" s="1947">
        <v>0.4</v>
      </c>
      <c r="AX41" s="1940" t="s">
        <v>927</v>
      </c>
      <c r="AY41" s="1944" t="s">
        <v>2088</v>
      </c>
      <c r="AZ41" s="1945" t="s">
        <v>2089</v>
      </c>
      <c r="BA41" s="1947"/>
      <c r="BB41" s="1947"/>
      <c r="BC41" s="1947"/>
      <c r="BD41" s="1947"/>
      <c r="BE41" s="1947"/>
      <c r="BF41" s="1947"/>
      <c r="BG41" s="1947"/>
      <c r="BH41" s="1949"/>
      <c r="BI41" s="1947"/>
      <c r="BJ41" s="1947"/>
      <c r="BK41" s="1948"/>
      <c r="BL41" s="1947"/>
      <c r="BM41" s="1947"/>
      <c r="BO41" s="1940" t="s">
        <v>3678</v>
      </c>
      <c r="BP41" s="1944" t="s">
        <v>2088</v>
      </c>
      <c r="BQ41" s="1945"/>
      <c r="BR41" s="1947"/>
      <c r="BS41" s="1947"/>
      <c r="BT41" s="1947"/>
      <c r="BU41" s="1947"/>
      <c r="BV41" s="1947"/>
      <c r="BW41" s="1947"/>
      <c r="BX41" s="1947"/>
      <c r="BY41" s="1949"/>
      <c r="BZ41" s="1947"/>
      <c r="CA41" s="1947"/>
      <c r="CB41" s="1948"/>
      <c r="CC41" s="1947"/>
      <c r="CD41" s="1947"/>
      <c r="CE41" s="2302"/>
      <c r="CG41" s="1940" t="s">
        <v>3492</v>
      </c>
      <c r="CH41" s="1944" t="s">
        <v>2088</v>
      </c>
      <c r="CI41" s="1945" t="s">
        <v>2089</v>
      </c>
      <c r="CJ41" s="2943">
        <f t="shared" si="10"/>
        <v>0</v>
      </c>
      <c r="CK41" s="2943">
        <f t="shared" si="10"/>
        <v>0</v>
      </c>
      <c r="CL41" s="2943">
        <f t="shared" si="10"/>
        <v>0</v>
      </c>
      <c r="CM41" s="2943">
        <f t="shared" si="10"/>
        <v>0</v>
      </c>
      <c r="CN41" s="2943">
        <f t="shared" si="10"/>
        <v>0</v>
      </c>
      <c r="CO41" s="2943">
        <f t="shared" si="10"/>
        <v>0</v>
      </c>
      <c r="CP41" s="2943">
        <f t="shared" si="10"/>
        <v>0</v>
      </c>
      <c r="CQ41" s="2943">
        <f t="shared" si="10"/>
        <v>0</v>
      </c>
      <c r="CR41" s="2943">
        <f t="shared" si="10"/>
        <v>0</v>
      </c>
      <c r="CS41" s="2943">
        <f t="shared" si="10"/>
        <v>0</v>
      </c>
      <c r="CT41" s="2947">
        <f t="shared" si="9"/>
        <v>0</v>
      </c>
      <c r="CU41" s="2943">
        <f t="shared" si="9"/>
        <v>0</v>
      </c>
      <c r="CV41" s="2943">
        <f t="shared" si="9"/>
        <v>0</v>
      </c>
      <c r="CW41" s="2445"/>
      <c r="CX41" s="1940" t="s">
        <v>3492</v>
      </c>
      <c r="CY41" s="1944" t="s">
        <v>2088</v>
      </c>
      <c r="CZ41" s="1945" t="s">
        <v>2089</v>
      </c>
      <c r="DA41" s="2944">
        <v>0</v>
      </c>
      <c r="DB41" s="2945"/>
      <c r="DC41" s="2945"/>
      <c r="DD41" s="2945"/>
      <c r="DE41" s="2945"/>
      <c r="DF41" s="2945"/>
      <c r="DG41" s="2945"/>
      <c r="DH41" s="2945"/>
      <c r="DI41" s="2945"/>
      <c r="DJ41" s="2945"/>
      <c r="DK41" s="2949"/>
      <c r="DL41" s="2945"/>
      <c r="DM41" s="2945"/>
    </row>
    <row r="42" spans="1:117">
      <c r="B42" s="1914" t="str">
        <f t="shared" si="0"/>
        <v>3.2.2</v>
      </c>
      <c r="C42" s="1937" t="str">
        <f t="shared" ref="C42:C75" si="18">R42</f>
        <v>昼光制御</v>
      </c>
      <c r="D42" s="1927">
        <f t="shared" si="16"/>
        <v>1</v>
      </c>
      <c r="E42" s="1939">
        <f t="shared" si="16"/>
        <v>1</v>
      </c>
      <c r="G42" s="1939">
        <f t="shared" ref="G42:G75" si="19">K42*M42</f>
        <v>1</v>
      </c>
      <c r="H42" s="1939">
        <f t="shared" ref="H42:H75" si="20">L42*N42</f>
        <v>1.5748031496062992E-2</v>
      </c>
      <c r="I42" s="1939"/>
      <c r="J42" s="1939"/>
      <c r="K42" s="1939">
        <f>IF(スコア!Q42=0,0,1)</f>
        <v>1</v>
      </c>
      <c r="L42" s="1939">
        <f>IF(スコア!T42=0,0,1)</f>
        <v>1</v>
      </c>
      <c r="M42" s="1939">
        <f t="shared" ref="M42:M75" si="21">SUMPRODUCT($S$7:$AB$7,S42:AB42)</f>
        <v>1</v>
      </c>
      <c r="N42" s="1939">
        <f t="shared" ref="N42:N75" si="22">(AC$7*AC42)+(AD$7*AD42)+(AE$7*AE42)</f>
        <v>1.5748031496062992E-2</v>
      </c>
      <c r="P42" s="1940" t="str">
        <f t="shared" si="17"/>
        <v>3.2.2</v>
      </c>
      <c r="Q42" s="1940" t="str">
        <f t="shared" si="17"/>
        <v xml:space="preserve"> Q1 3.2</v>
      </c>
      <c r="R42" s="1941" t="str">
        <f t="shared" si="17"/>
        <v>昼光制御</v>
      </c>
      <c r="S42" s="1942">
        <f t="shared" si="17"/>
        <v>1</v>
      </c>
      <c r="T42" s="1942">
        <f t="shared" si="17"/>
        <v>1</v>
      </c>
      <c r="U42" s="1942">
        <f t="shared" si="17"/>
        <v>0</v>
      </c>
      <c r="V42" s="1942">
        <f t="shared" si="17"/>
        <v>0</v>
      </c>
      <c r="W42" s="1942">
        <f t="shared" si="17"/>
        <v>1</v>
      </c>
      <c r="X42" s="1942">
        <f t="shared" si="17"/>
        <v>1</v>
      </c>
      <c r="Y42" s="1942">
        <f t="shared" si="17"/>
        <v>1</v>
      </c>
      <c r="Z42" s="1960">
        <f t="shared" si="17"/>
        <v>0</v>
      </c>
      <c r="AA42" s="1942">
        <f t="shared" si="17"/>
        <v>1</v>
      </c>
      <c r="AB42" s="1942">
        <f t="shared" si="8"/>
        <v>1</v>
      </c>
      <c r="AC42" s="1943">
        <f t="shared" si="8"/>
        <v>1</v>
      </c>
      <c r="AD42" s="1942">
        <f t="shared" si="8"/>
        <v>1</v>
      </c>
      <c r="AE42" s="1942">
        <f t="shared" si="8"/>
        <v>1</v>
      </c>
      <c r="AG42" s="1940" t="s">
        <v>928</v>
      </c>
      <c r="AH42" s="1944" t="s">
        <v>2088</v>
      </c>
      <c r="AI42" s="1945" t="s">
        <v>2090</v>
      </c>
      <c r="AJ42" s="1942">
        <v>0.6</v>
      </c>
      <c r="AK42" s="1942">
        <v>0.6</v>
      </c>
      <c r="AL42" s="1942"/>
      <c r="AM42" s="1942"/>
      <c r="AN42" s="1942">
        <v>0.6</v>
      </c>
      <c r="AO42" s="1942">
        <v>0.6</v>
      </c>
      <c r="AP42" s="1942">
        <v>0.6</v>
      </c>
      <c r="AQ42" s="1960"/>
      <c r="AR42" s="1942">
        <v>0.6</v>
      </c>
      <c r="AS42" s="1964">
        <v>0.4</v>
      </c>
      <c r="AT42" s="1948">
        <v>0.6</v>
      </c>
      <c r="AU42" s="1947">
        <v>0.6</v>
      </c>
      <c r="AV42" s="1947">
        <v>0.6</v>
      </c>
      <c r="AX42" s="1940" t="s">
        <v>928</v>
      </c>
      <c r="AY42" s="1944" t="s">
        <v>2088</v>
      </c>
      <c r="AZ42" s="1945" t="s">
        <v>2090</v>
      </c>
      <c r="BA42" s="1947">
        <v>1</v>
      </c>
      <c r="BB42" s="1947">
        <v>1</v>
      </c>
      <c r="BC42" s="1947"/>
      <c r="BD42" s="1947"/>
      <c r="BE42" s="1947">
        <v>1</v>
      </c>
      <c r="BF42" s="1947">
        <v>1</v>
      </c>
      <c r="BG42" s="1947">
        <v>1</v>
      </c>
      <c r="BH42" s="1949"/>
      <c r="BI42" s="1947">
        <v>1</v>
      </c>
      <c r="BJ42" s="1947">
        <v>1</v>
      </c>
      <c r="BK42" s="1948">
        <v>1</v>
      </c>
      <c r="BL42" s="1947">
        <v>1</v>
      </c>
      <c r="BM42" s="1947">
        <v>1</v>
      </c>
      <c r="BO42" s="1940" t="s">
        <v>3679</v>
      </c>
      <c r="BP42" s="1944" t="s">
        <v>2088</v>
      </c>
      <c r="BQ42" s="1945" t="s">
        <v>2090</v>
      </c>
      <c r="BR42" s="1947">
        <v>1</v>
      </c>
      <c r="BS42" s="1947">
        <v>1</v>
      </c>
      <c r="BT42" s="1947"/>
      <c r="BU42" s="1947"/>
      <c r="BV42" s="1947">
        <v>1</v>
      </c>
      <c r="BW42" s="1947">
        <v>1</v>
      </c>
      <c r="BX42" s="1947">
        <v>1</v>
      </c>
      <c r="BY42" s="1949"/>
      <c r="BZ42" s="1947">
        <v>1</v>
      </c>
      <c r="CA42" s="1947">
        <v>1</v>
      </c>
      <c r="CB42" s="1948">
        <v>1</v>
      </c>
      <c r="CC42" s="1947">
        <v>1</v>
      </c>
      <c r="CD42" s="1947">
        <v>1</v>
      </c>
      <c r="CE42" s="2302"/>
      <c r="CG42" s="1940" t="s">
        <v>3493</v>
      </c>
      <c r="CH42" s="1944" t="s">
        <v>2088</v>
      </c>
      <c r="CI42" s="1945" t="s">
        <v>2090</v>
      </c>
      <c r="CJ42" s="2943">
        <f t="shared" si="10"/>
        <v>1</v>
      </c>
      <c r="CK42" s="2943">
        <f t="shared" si="10"/>
        <v>1</v>
      </c>
      <c r="CL42" s="2943">
        <f t="shared" si="10"/>
        <v>0</v>
      </c>
      <c r="CM42" s="2943">
        <f t="shared" si="10"/>
        <v>0</v>
      </c>
      <c r="CN42" s="2943">
        <f t="shared" si="10"/>
        <v>1</v>
      </c>
      <c r="CO42" s="2943">
        <f t="shared" si="10"/>
        <v>1</v>
      </c>
      <c r="CP42" s="2943">
        <f t="shared" si="10"/>
        <v>1</v>
      </c>
      <c r="CQ42" s="2943">
        <f t="shared" si="10"/>
        <v>0</v>
      </c>
      <c r="CR42" s="2943">
        <f t="shared" si="10"/>
        <v>1</v>
      </c>
      <c r="CS42" s="2943">
        <f t="shared" si="10"/>
        <v>1</v>
      </c>
      <c r="CT42" s="2947">
        <f t="shared" si="9"/>
        <v>1</v>
      </c>
      <c r="CU42" s="2943">
        <f t="shared" si="9"/>
        <v>1</v>
      </c>
      <c r="CV42" s="2943">
        <f t="shared" si="9"/>
        <v>1</v>
      </c>
      <c r="CW42" s="2445"/>
      <c r="CX42" s="1940" t="s">
        <v>3493</v>
      </c>
      <c r="CY42" s="1944" t="s">
        <v>2088</v>
      </c>
      <c r="CZ42" s="1945" t="s">
        <v>2090</v>
      </c>
      <c r="DA42" s="2944">
        <v>1</v>
      </c>
      <c r="DB42" s="2945"/>
      <c r="DC42" s="2945"/>
      <c r="DD42" s="2945"/>
      <c r="DE42" s="2945"/>
      <c r="DF42" s="2945"/>
      <c r="DG42" s="2945"/>
      <c r="DH42" s="2945"/>
      <c r="DI42" s="2945"/>
      <c r="DJ42" s="2945"/>
      <c r="DK42" s="2949"/>
      <c r="DL42" s="2945"/>
      <c r="DM42" s="2945"/>
    </row>
    <row r="43" spans="1:117" hidden="1">
      <c r="B43" s="1914" t="s">
        <v>929</v>
      </c>
      <c r="C43" s="1965">
        <f t="shared" si="18"/>
        <v>0</v>
      </c>
      <c r="D43" s="1966">
        <f>IF(I$40&gt;0,G43/I$40,0)</f>
        <v>0</v>
      </c>
      <c r="E43" s="1967">
        <f t="shared" si="16"/>
        <v>0</v>
      </c>
      <c r="G43" s="1967">
        <f t="shared" si="19"/>
        <v>0</v>
      </c>
      <c r="H43" s="1967">
        <f t="shared" si="20"/>
        <v>0</v>
      </c>
      <c r="I43" s="1967"/>
      <c r="J43" s="1967"/>
      <c r="K43" s="1967">
        <f>IF(スコア!Q43=0,0,1)</f>
        <v>0</v>
      </c>
      <c r="L43" s="1967">
        <f>IF(スコア!T43=0,0,1)</f>
        <v>0</v>
      </c>
      <c r="M43" s="1967">
        <f t="shared" si="21"/>
        <v>0</v>
      </c>
      <c r="N43" s="1967">
        <f t="shared" si="22"/>
        <v>0</v>
      </c>
      <c r="P43" s="1968" t="str">
        <f t="shared" si="17"/>
        <v>3.2.3</v>
      </c>
      <c r="Q43" s="1968" t="str">
        <f t="shared" si="17"/>
        <v xml:space="preserve"> Q1 3.3</v>
      </c>
      <c r="R43" s="1969">
        <f t="shared" si="17"/>
        <v>0</v>
      </c>
      <c r="S43" s="1952">
        <f t="shared" si="17"/>
        <v>0</v>
      </c>
      <c r="T43" s="1952">
        <f t="shared" si="17"/>
        <v>0</v>
      </c>
      <c r="U43" s="1952">
        <f t="shared" si="17"/>
        <v>0</v>
      </c>
      <c r="V43" s="1952">
        <f t="shared" si="17"/>
        <v>0</v>
      </c>
      <c r="W43" s="1952">
        <f t="shared" si="17"/>
        <v>0</v>
      </c>
      <c r="X43" s="1952">
        <f t="shared" si="17"/>
        <v>0</v>
      </c>
      <c r="Y43" s="1952">
        <f t="shared" si="17"/>
        <v>0</v>
      </c>
      <c r="Z43" s="1970">
        <f t="shared" si="17"/>
        <v>0</v>
      </c>
      <c r="AA43" s="1952">
        <f t="shared" si="17"/>
        <v>0</v>
      </c>
      <c r="AB43" s="1952">
        <f t="shared" si="8"/>
        <v>0</v>
      </c>
      <c r="AC43" s="1971">
        <f t="shared" si="8"/>
        <v>0</v>
      </c>
      <c r="AD43" s="1952">
        <f t="shared" si="8"/>
        <v>0</v>
      </c>
      <c r="AE43" s="1952">
        <f t="shared" si="8"/>
        <v>0</v>
      </c>
      <c r="AG43" s="1940" t="s">
        <v>2091</v>
      </c>
      <c r="AH43" s="1944" t="s">
        <v>2092</v>
      </c>
      <c r="AI43" s="1945" t="s">
        <v>801</v>
      </c>
      <c r="AJ43" s="1942"/>
      <c r="AK43" s="1942"/>
      <c r="AL43" s="1942"/>
      <c r="AM43" s="1942"/>
      <c r="AN43" s="1942"/>
      <c r="AO43" s="1942"/>
      <c r="AP43" s="1942"/>
      <c r="AQ43" s="1960"/>
      <c r="AR43" s="1942"/>
      <c r="AS43" s="1964">
        <v>0.3</v>
      </c>
      <c r="AT43" s="1948"/>
      <c r="AU43" s="1947"/>
      <c r="AV43" s="1947"/>
      <c r="AX43" s="1968" t="s">
        <v>930</v>
      </c>
      <c r="AY43" s="1972" t="s">
        <v>2092</v>
      </c>
      <c r="AZ43" s="1973" t="s">
        <v>801</v>
      </c>
      <c r="BA43" s="1974"/>
      <c r="BB43" s="1974"/>
      <c r="BC43" s="1974"/>
      <c r="BD43" s="1974"/>
      <c r="BE43" s="1974"/>
      <c r="BF43" s="1974"/>
      <c r="BG43" s="1974"/>
      <c r="BH43" s="1975"/>
      <c r="BI43" s="1974"/>
      <c r="BJ43" s="1974"/>
      <c r="BK43" s="1976"/>
      <c r="BL43" s="1974"/>
      <c r="BM43" s="1974"/>
      <c r="BO43" s="1968" t="s">
        <v>2091</v>
      </c>
      <c r="BP43" s="1972" t="s">
        <v>2092</v>
      </c>
      <c r="BQ43" s="1973"/>
      <c r="BR43" s="1977"/>
      <c r="BS43" s="1977"/>
      <c r="BT43" s="1977"/>
      <c r="BU43" s="1977"/>
      <c r="BV43" s="1977"/>
      <c r="BW43" s="1977"/>
      <c r="BX43" s="1977"/>
      <c r="BY43" s="1978"/>
      <c r="BZ43" s="1977"/>
      <c r="CA43" s="1977"/>
      <c r="CB43" s="1979"/>
      <c r="CC43" s="1977"/>
      <c r="CD43" s="1977"/>
      <c r="CE43" s="2303"/>
      <c r="CG43" s="1968" t="s">
        <v>3494</v>
      </c>
      <c r="CH43" s="1972" t="s">
        <v>2092</v>
      </c>
      <c r="CI43" s="1973"/>
      <c r="CJ43" s="2958"/>
      <c r="CK43" s="2958"/>
      <c r="CL43" s="2958"/>
      <c r="CM43" s="2958"/>
      <c r="CN43" s="2958"/>
      <c r="CO43" s="2958"/>
      <c r="CP43" s="2958"/>
      <c r="CQ43" s="2959"/>
      <c r="CR43" s="2958"/>
      <c r="CS43" s="2958"/>
      <c r="CT43" s="2960"/>
      <c r="CU43" s="2958"/>
      <c r="CV43" s="2958"/>
      <c r="CW43" s="2445"/>
      <c r="CX43" s="1968"/>
      <c r="CY43" s="1972"/>
      <c r="CZ43" s="1973"/>
      <c r="DA43" s="2961"/>
      <c r="DB43" s="2961"/>
      <c r="DC43" s="2961"/>
      <c r="DD43" s="2961"/>
      <c r="DE43" s="2961"/>
      <c r="DF43" s="2961"/>
      <c r="DG43" s="2961"/>
      <c r="DH43" s="2962"/>
      <c r="DI43" s="2961"/>
      <c r="DJ43" s="2961"/>
      <c r="DK43" s="2963"/>
      <c r="DL43" s="2961"/>
      <c r="DM43" s="2961"/>
    </row>
    <row r="44" spans="1:117">
      <c r="B44" s="1914">
        <f t="shared" ref="B44:B77" si="23">P44</f>
        <v>3.3</v>
      </c>
      <c r="C44" s="1959" t="str">
        <f t="shared" si="18"/>
        <v>照度</v>
      </c>
      <c r="D44" s="1938">
        <f>IF(I$35=0,0,G44/I$35)</f>
        <v>0.15</v>
      </c>
      <c r="E44" s="1939">
        <f>IF(J$35=0,0,H44/J$35)</f>
        <v>0.15</v>
      </c>
      <c r="G44" s="1939">
        <f t="shared" si="19"/>
        <v>0.15</v>
      </c>
      <c r="H44" s="1939">
        <f t="shared" si="20"/>
        <v>2.3622047244094488E-3</v>
      </c>
      <c r="I44" s="1939">
        <f>SUM(G45:G46)</f>
        <v>0</v>
      </c>
      <c r="J44" s="1939">
        <f>SUM(H45:H46)</f>
        <v>0</v>
      </c>
      <c r="K44" s="1939">
        <f>IF(スコア!Q44=0,0,1)</f>
        <v>1</v>
      </c>
      <c r="L44" s="1939">
        <f>IF(スコア!T44=0,0,1)</f>
        <v>1</v>
      </c>
      <c r="M44" s="1939">
        <f t="shared" si="21"/>
        <v>0.15</v>
      </c>
      <c r="N44" s="1939">
        <f t="shared" si="22"/>
        <v>2.3622047244094488E-3</v>
      </c>
      <c r="P44" s="1940">
        <f t="shared" si="17"/>
        <v>3.3</v>
      </c>
      <c r="Q44" s="1940" t="str">
        <f t="shared" si="17"/>
        <v xml:space="preserve"> Q1 3</v>
      </c>
      <c r="R44" s="1941" t="str">
        <f t="shared" si="17"/>
        <v>照度</v>
      </c>
      <c r="S44" s="1942">
        <f t="shared" si="17"/>
        <v>0.15</v>
      </c>
      <c r="T44" s="1942">
        <f t="shared" si="17"/>
        <v>0.15</v>
      </c>
      <c r="U44" s="1942">
        <f t="shared" si="17"/>
        <v>0</v>
      </c>
      <c r="V44" s="1942">
        <f t="shared" si="17"/>
        <v>0</v>
      </c>
      <c r="W44" s="1942">
        <f t="shared" si="17"/>
        <v>0.15</v>
      </c>
      <c r="X44" s="1942">
        <f t="shared" si="17"/>
        <v>0.15</v>
      </c>
      <c r="Y44" s="1942">
        <f t="shared" si="17"/>
        <v>0.15</v>
      </c>
      <c r="Z44" s="1960">
        <f t="shared" si="17"/>
        <v>0.2</v>
      </c>
      <c r="AA44" s="1942">
        <f t="shared" si="17"/>
        <v>0.15</v>
      </c>
      <c r="AB44" s="1942">
        <f t="shared" si="8"/>
        <v>0.15</v>
      </c>
      <c r="AC44" s="1943">
        <f t="shared" si="8"/>
        <v>0.15</v>
      </c>
      <c r="AD44" s="1942">
        <f t="shared" si="8"/>
        <v>0.15</v>
      </c>
      <c r="AE44" s="1942">
        <f t="shared" si="8"/>
        <v>0.15</v>
      </c>
      <c r="AG44" s="1940">
        <v>3.3</v>
      </c>
      <c r="AH44" s="1944" t="s">
        <v>2083</v>
      </c>
      <c r="AI44" s="1941" t="s">
        <v>802</v>
      </c>
      <c r="AJ44" s="1942">
        <v>0.15</v>
      </c>
      <c r="AK44" s="1942">
        <v>0.15</v>
      </c>
      <c r="AL44" s="1942"/>
      <c r="AM44" s="1942"/>
      <c r="AN44" s="1942">
        <v>0.15</v>
      </c>
      <c r="AO44" s="1942">
        <v>0.15</v>
      </c>
      <c r="AP44" s="1942">
        <v>0.15</v>
      </c>
      <c r="AQ44" s="1960"/>
      <c r="AR44" s="1942">
        <v>0.15</v>
      </c>
      <c r="AS44" s="1947">
        <v>0.15</v>
      </c>
      <c r="AT44" s="1948">
        <v>0.15</v>
      </c>
      <c r="AU44" s="1947">
        <v>0.15</v>
      </c>
      <c r="AV44" s="1947">
        <v>0.15</v>
      </c>
      <c r="AX44" s="1940">
        <v>3.3</v>
      </c>
      <c r="AY44" s="1944" t="s">
        <v>2083</v>
      </c>
      <c r="AZ44" s="1941" t="s">
        <v>802</v>
      </c>
      <c r="BA44" s="1947">
        <v>0.15</v>
      </c>
      <c r="BB44" s="1947">
        <v>0.15</v>
      </c>
      <c r="BC44" s="1947"/>
      <c r="BD44" s="1947"/>
      <c r="BE44" s="1947">
        <v>0.15</v>
      </c>
      <c r="BF44" s="1947">
        <v>0.15</v>
      </c>
      <c r="BG44" s="1947">
        <v>0.15</v>
      </c>
      <c r="BH44" s="1949"/>
      <c r="BI44" s="1947">
        <v>0.15</v>
      </c>
      <c r="BJ44" s="1947">
        <v>0.15</v>
      </c>
      <c r="BK44" s="1948">
        <v>0.15</v>
      </c>
      <c r="BL44" s="1947">
        <v>0.15</v>
      </c>
      <c r="BM44" s="1947">
        <v>0.15</v>
      </c>
      <c r="BO44" s="1940">
        <v>3.3</v>
      </c>
      <c r="BP44" s="1944" t="s">
        <v>2083</v>
      </c>
      <c r="BQ44" s="1941" t="s">
        <v>3648</v>
      </c>
      <c r="BR44" s="1947">
        <v>0.15</v>
      </c>
      <c r="BS44" s="1947">
        <v>0.15</v>
      </c>
      <c r="BT44" s="1947"/>
      <c r="BU44" s="1947"/>
      <c r="BV44" s="1947">
        <v>0.15</v>
      </c>
      <c r="BW44" s="1947">
        <v>0.15</v>
      </c>
      <c r="BX44" s="1947">
        <v>0.15</v>
      </c>
      <c r="BY44" s="1949">
        <v>0.2</v>
      </c>
      <c r="BZ44" s="1947">
        <v>0.15</v>
      </c>
      <c r="CA44" s="1947">
        <v>0.15</v>
      </c>
      <c r="CB44" s="1948">
        <v>0.15</v>
      </c>
      <c r="CC44" s="1947">
        <v>0.15</v>
      </c>
      <c r="CD44" s="1947">
        <v>0.15</v>
      </c>
      <c r="CE44" s="2302"/>
      <c r="CG44" s="1940">
        <v>3.3</v>
      </c>
      <c r="CH44" s="1944" t="s">
        <v>2083</v>
      </c>
      <c r="CI44" s="1941" t="s">
        <v>802</v>
      </c>
      <c r="CJ44" s="2943">
        <f t="shared" si="10"/>
        <v>0.15</v>
      </c>
      <c r="CK44" s="2943">
        <f t="shared" si="10"/>
        <v>0.15</v>
      </c>
      <c r="CL44" s="2943">
        <f t="shared" si="10"/>
        <v>0</v>
      </c>
      <c r="CM44" s="2943">
        <f t="shared" si="10"/>
        <v>0</v>
      </c>
      <c r="CN44" s="2943">
        <f t="shared" ref="CN44:CV98" si="24">BV44</f>
        <v>0.15</v>
      </c>
      <c r="CO44" s="2943">
        <f t="shared" si="24"/>
        <v>0.15</v>
      </c>
      <c r="CP44" s="2943">
        <f t="shared" si="24"/>
        <v>0.15</v>
      </c>
      <c r="CQ44" s="2943">
        <f t="shared" si="24"/>
        <v>0.2</v>
      </c>
      <c r="CR44" s="2943">
        <f t="shared" si="24"/>
        <v>0.15</v>
      </c>
      <c r="CS44" s="2943">
        <f t="shared" si="24"/>
        <v>0.15</v>
      </c>
      <c r="CT44" s="2947">
        <f t="shared" si="9"/>
        <v>0.15</v>
      </c>
      <c r="CU44" s="2943">
        <f t="shared" si="9"/>
        <v>0.15</v>
      </c>
      <c r="CV44" s="2943">
        <f t="shared" si="9"/>
        <v>0.15</v>
      </c>
      <c r="CW44" s="2445"/>
      <c r="CX44" s="1940">
        <v>3.3</v>
      </c>
      <c r="CY44" s="1944" t="s">
        <v>2083</v>
      </c>
      <c r="CZ44" s="1941" t="s">
        <v>802</v>
      </c>
      <c r="DA44" s="2945">
        <f t="shared" si="11"/>
        <v>0.15</v>
      </c>
      <c r="DB44" s="2945"/>
      <c r="DC44" s="2945"/>
      <c r="DD44" s="2945"/>
      <c r="DE44" s="2945"/>
      <c r="DF44" s="2945"/>
      <c r="DG44" s="2945"/>
      <c r="DH44" s="2945"/>
      <c r="DI44" s="2945"/>
      <c r="DJ44" s="2945"/>
      <c r="DK44" s="2949"/>
      <c r="DL44" s="2945"/>
      <c r="DM44" s="2945"/>
    </row>
    <row r="45" spans="1:117" hidden="1">
      <c r="B45" s="1914" t="str">
        <f t="shared" si="23"/>
        <v>3.3.1</v>
      </c>
      <c r="C45" s="1965" t="str">
        <f t="shared" si="18"/>
        <v>照度</v>
      </c>
      <c r="D45" s="1966">
        <f>IF(I$44&gt;0,G45/I$44,0)</f>
        <v>0</v>
      </c>
      <c r="E45" s="1967">
        <f>IF(J$44&gt;0,H45/J$44,0)</f>
        <v>0</v>
      </c>
      <c r="G45" s="1967">
        <f t="shared" si="19"/>
        <v>0</v>
      </c>
      <c r="H45" s="1967">
        <f t="shared" si="20"/>
        <v>0</v>
      </c>
      <c r="I45" s="1967"/>
      <c r="J45" s="1967"/>
      <c r="K45" s="1967">
        <f>IF(スコア!Q45=0,0,1)</f>
        <v>0</v>
      </c>
      <c r="L45" s="1967">
        <f>IF(スコア!T45=0,0,1)</f>
        <v>0</v>
      </c>
      <c r="M45" s="1967">
        <f t="shared" si="21"/>
        <v>0</v>
      </c>
      <c r="N45" s="1967">
        <f t="shared" si="22"/>
        <v>0</v>
      </c>
      <c r="P45" s="1968" t="str">
        <f t="shared" si="17"/>
        <v>3.3.1</v>
      </c>
      <c r="Q45" s="1968" t="str">
        <f t="shared" si="17"/>
        <v xml:space="preserve"> Q1 3.3</v>
      </c>
      <c r="R45" s="1969" t="str">
        <f t="shared" si="17"/>
        <v>照度</v>
      </c>
      <c r="S45" s="1952">
        <f t="shared" si="17"/>
        <v>0</v>
      </c>
      <c r="T45" s="1952">
        <f t="shared" si="17"/>
        <v>0</v>
      </c>
      <c r="U45" s="1952">
        <f t="shared" si="17"/>
        <v>0</v>
      </c>
      <c r="V45" s="1952">
        <f t="shared" si="17"/>
        <v>0</v>
      </c>
      <c r="W45" s="1952">
        <f t="shared" si="17"/>
        <v>0</v>
      </c>
      <c r="X45" s="1952">
        <f t="shared" si="17"/>
        <v>0</v>
      </c>
      <c r="Y45" s="1952">
        <f t="shared" si="17"/>
        <v>0</v>
      </c>
      <c r="Z45" s="1970">
        <f t="shared" si="17"/>
        <v>0</v>
      </c>
      <c r="AA45" s="1952">
        <f t="shared" si="17"/>
        <v>0</v>
      </c>
      <c r="AB45" s="1952">
        <f t="shared" si="8"/>
        <v>0</v>
      </c>
      <c r="AC45" s="1971">
        <f t="shared" si="8"/>
        <v>0</v>
      </c>
      <c r="AD45" s="1952">
        <f t="shared" si="8"/>
        <v>0</v>
      </c>
      <c r="AE45" s="1952">
        <f t="shared" si="8"/>
        <v>0</v>
      </c>
      <c r="AG45" s="1968" t="s">
        <v>1728</v>
      </c>
      <c r="AH45" s="1972" t="s">
        <v>2092</v>
      </c>
      <c r="AI45" s="1973" t="s">
        <v>1729</v>
      </c>
      <c r="AJ45" s="1942"/>
      <c r="AK45" s="1942"/>
      <c r="AL45" s="1942"/>
      <c r="AM45" s="1942"/>
      <c r="AN45" s="1942"/>
      <c r="AO45" s="1942"/>
      <c r="AP45" s="1942"/>
      <c r="AQ45" s="1960"/>
      <c r="AR45" s="1942"/>
      <c r="AS45" s="1974"/>
      <c r="AT45" s="1976"/>
      <c r="AU45" s="1974"/>
      <c r="AV45" s="1974"/>
      <c r="AX45" s="1968" t="s">
        <v>1728</v>
      </c>
      <c r="AY45" s="1972" t="s">
        <v>2092</v>
      </c>
      <c r="AZ45" s="1973" t="s">
        <v>1729</v>
      </c>
      <c r="BA45" s="1974"/>
      <c r="BB45" s="1974"/>
      <c r="BC45" s="1974"/>
      <c r="BD45" s="1974"/>
      <c r="BE45" s="1974"/>
      <c r="BF45" s="1974"/>
      <c r="BG45" s="1974"/>
      <c r="BH45" s="1975"/>
      <c r="BI45" s="1974"/>
      <c r="BJ45" s="1974"/>
      <c r="BK45" s="1976"/>
      <c r="BL45" s="1974"/>
      <c r="BM45" s="1974"/>
      <c r="BO45" s="1968" t="s">
        <v>3680</v>
      </c>
      <c r="BP45" s="1972" t="s">
        <v>2092</v>
      </c>
      <c r="BQ45" s="1973" t="s">
        <v>3648</v>
      </c>
      <c r="BR45" s="1977"/>
      <c r="BS45" s="1977"/>
      <c r="BT45" s="1977"/>
      <c r="BU45" s="1977"/>
      <c r="BV45" s="1977"/>
      <c r="BW45" s="1977"/>
      <c r="BX45" s="1977"/>
      <c r="BY45" s="1978">
        <v>0</v>
      </c>
      <c r="BZ45" s="1977"/>
      <c r="CA45" s="1977"/>
      <c r="CB45" s="1979"/>
      <c r="CC45" s="1977"/>
      <c r="CD45" s="1977"/>
      <c r="CE45" s="2303"/>
      <c r="CG45" s="1968" t="s">
        <v>3495</v>
      </c>
      <c r="CH45" s="1972" t="s">
        <v>2092</v>
      </c>
      <c r="CI45" s="1973" t="s">
        <v>3496</v>
      </c>
      <c r="CJ45" s="2958">
        <f t="shared" ref="CJ45:CV100" si="25">BR45</f>
        <v>0</v>
      </c>
      <c r="CK45" s="2958">
        <f t="shared" si="25"/>
        <v>0</v>
      </c>
      <c r="CL45" s="2958">
        <f t="shared" si="25"/>
        <v>0</v>
      </c>
      <c r="CM45" s="2958">
        <f t="shared" si="25"/>
        <v>0</v>
      </c>
      <c r="CN45" s="2958">
        <f t="shared" si="24"/>
        <v>0</v>
      </c>
      <c r="CO45" s="2958">
        <f t="shared" si="24"/>
        <v>0</v>
      </c>
      <c r="CP45" s="2958">
        <f t="shared" si="24"/>
        <v>0</v>
      </c>
      <c r="CQ45" s="2958">
        <f t="shared" si="24"/>
        <v>0</v>
      </c>
      <c r="CR45" s="2958">
        <f t="shared" si="24"/>
        <v>0</v>
      </c>
      <c r="CS45" s="2958">
        <f t="shared" si="24"/>
        <v>0</v>
      </c>
      <c r="CT45" s="2960">
        <f t="shared" si="9"/>
        <v>0</v>
      </c>
      <c r="CU45" s="2958">
        <f t="shared" si="9"/>
        <v>0</v>
      </c>
      <c r="CV45" s="2958">
        <f t="shared" si="9"/>
        <v>0</v>
      </c>
      <c r="CW45" s="2445"/>
      <c r="CX45" s="1968" t="s">
        <v>3495</v>
      </c>
      <c r="CY45" s="1972" t="s">
        <v>2092</v>
      </c>
      <c r="CZ45" s="1973" t="s">
        <v>3496</v>
      </c>
      <c r="DA45" s="2961">
        <f t="shared" si="11"/>
        <v>0</v>
      </c>
      <c r="DB45" s="2961"/>
      <c r="DC45" s="2961"/>
      <c r="DD45" s="2961"/>
      <c r="DE45" s="2961"/>
      <c r="DF45" s="2961"/>
      <c r="DG45" s="2961"/>
      <c r="DH45" s="2961"/>
      <c r="DI45" s="2961"/>
      <c r="DJ45" s="2961"/>
      <c r="DK45" s="2963"/>
      <c r="DL45" s="2961"/>
      <c r="DM45" s="2961"/>
    </row>
    <row r="46" spans="1:117" hidden="1">
      <c r="B46" s="1914" t="str">
        <f t="shared" si="23"/>
        <v>3.3.2</v>
      </c>
      <c r="C46" s="1965" t="str">
        <f t="shared" si="18"/>
        <v>照度均斉度</v>
      </c>
      <c r="D46" s="1966">
        <f>IF(I$44&gt;0,G46/I$44,0)</f>
        <v>0</v>
      </c>
      <c r="E46" s="1967">
        <f>IF(J$44&gt;0,H46/J$44,0)</f>
        <v>0</v>
      </c>
      <c r="G46" s="1967">
        <f t="shared" si="19"/>
        <v>0</v>
      </c>
      <c r="H46" s="1967">
        <f t="shared" si="20"/>
        <v>0</v>
      </c>
      <c r="I46" s="1967"/>
      <c r="J46" s="1967"/>
      <c r="K46" s="1967">
        <f>IF(スコア!Q46=0,0,1)</f>
        <v>0</v>
      </c>
      <c r="L46" s="1967">
        <f>IF(スコア!T46=0,0,1)</f>
        <v>0</v>
      </c>
      <c r="M46" s="1967">
        <f t="shared" si="21"/>
        <v>0</v>
      </c>
      <c r="N46" s="1967">
        <f t="shared" si="22"/>
        <v>0</v>
      </c>
      <c r="P46" s="1968" t="str">
        <f t="shared" si="17"/>
        <v>3.3.2</v>
      </c>
      <c r="Q46" s="1968" t="str">
        <f t="shared" si="17"/>
        <v xml:space="preserve"> Q1 3.3</v>
      </c>
      <c r="R46" s="1969" t="str">
        <f t="shared" si="17"/>
        <v>照度均斉度</v>
      </c>
      <c r="S46" s="1952">
        <f t="shared" si="17"/>
        <v>0</v>
      </c>
      <c r="T46" s="1952">
        <f t="shared" si="17"/>
        <v>0</v>
      </c>
      <c r="U46" s="1952">
        <f t="shared" si="17"/>
        <v>0</v>
      </c>
      <c r="V46" s="1952">
        <f t="shared" si="17"/>
        <v>0</v>
      </c>
      <c r="W46" s="1952">
        <f t="shared" si="17"/>
        <v>0</v>
      </c>
      <c r="X46" s="1952">
        <f t="shared" si="17"/>
        <v>0</v>
      </c>
      <c r="Y46" s="1952">
        <f t="shared" si="17"/>
        <v>0</v>
      </c>
      <c r="Z46" s="1970">
        <f t="shared" si="17"/>
        <v>0</v>
      </c>
      <c r="AA46" s="1952">
        <f t="shared" si="17"/>
        <v>0</v>
      </c>
      <c r="AB46" s="1952">
        <f t="shared" si="8"/>
        <v>0</v>
      </c>
      <c r="AC46" s="1971">
        <f t="shared" si="8"/>
        <v>0</v>
      </c>
      <c r="AD46" s="1952">
        <f t="shared" si="8"/>
        <v>0</v>
      </c>
      <c r="AE46" s="1952">
        <f t="shared" si="8"/>
        <v>0</v>
      </c>
      <c r="AG46" s="1968" t="s">
        <v>1730</v>
      </c>
      <c r="AH46" s="1972" t="s">
        <v>2092</v>
      </c>
      <c r="AI46" s="1973" t="s">
        <v>2223</v>
      </c>
      <c r="AJ46" s="1952"/>
      <c r="AK46" s="1952"/>
      <c r="AL46" s="1952"/>
      <c r="AM46" s="1952"/>
      <c r="AN46" s="1952"/>
      <c r="AO46" s="1952"/>
      <c r="AP46" s="1952"/>
      <c r="AQ46" s="1962"/>
      <c r="AR46" s="1952"/>
      <c r="AS46" s="1974"/>
      <c r="AT46" s="1976"/>
      <c r="AU46" s="1974"/>
      <c r="AV46" s="1974"/>
      <c r="AX46" s="1968" t="s">
        <v>1730</v>
      </c>
      <c r="AY46" s="1972" t="s">
        <v>2092</v>
      </c>
      <c r="AZ46" s="1973" t="s">
        <v>2223</v>
      </c>
      <c r="BA46" s="1974"/>
      <c r="BB46" s="1974"/>
      <c r="BC46" s="1974"/>
      <c r="BD46" s="1974"/>
      <c r="BE46" s="1974"/>
      <c r="BF46" s="1974"/>
      <c r="BG46" s="1974"/>
      <c r="BH46" s="1975"/>
      <c r="BI46" s="1974"/>
      <c r="BJ46" s="1974"/>
      <c r="BK46" s="1976"/>
      <c r="BL46" s="1974"/>
      <c r="BM46" s="1974"/>
      <c r="BO46" s="1968" t="s">
        <v>3681</v>
      </c>
      <c r="BP46" s="1972" t="s">
        <v>2092</v>
      </c>
      <c r="BQ46" s="1973" t="s">
        <v>3649</v>
      </c>
      <c r="BR46" s="1977"/>
      <c r="BS46" s="1977"/>
      <c r="BT46" s="1977"/>
      <c r="BU46" s="1977"/>
      <c r="BV46" s="1977"/>
      <c r="BW46" s="1977"/>
      <c r="BX46" s="1977"/>
      <c r="BY46" s="1978">
        <v>0</v>
      </c>
      <c r="BZ46" s="1977"/>
      <c r="CA46" s="1977"/>
      <c r="CB46" s="1979"/>
      <c r="CC46" s="1977"/>
      <c r="CD46" s="1977"/>
      <c r="CE46" s="2303"/>
      <c r="CG46" s="1968" t="s">
        <v>3497</v>
      </c>
      <c r="CH46" s="1972" t="s">
        <v>2092</v>
      </c>
      <c r="CI46" s="1973" t="s">
        <v>3498</v>
      </c>
      <c r="CJ46" s="2958">
        <f t="shared" si="25"/>
        <v>0</v>
      </c>
      <c r="CK46" s="2958">
        <f t="shared" si="25"/>
        <v>0</v>
      </c>
      <c r="CL46" s="2958">
        <f t="shared" si="25"/>
        <v>0</v>
      </c>
      <c r="CM46" s="2958">
        <f t="shared" si="25"/>
        <v>0</v>
      </c>
      <c r="CN46" s="2958">
        <f t="shared" si="24"/>
        <v>0</v>
      </c>
      <c r="CO46" s="2958">
        <f t="shared" si="24"/>
        <v>0</v>
      </c>
      <c r="CP46" s="2958">
        <f t="shared" si="24"/>
        <v>0</v>
      </c>
      <c r="CQ46" s="2958">
        <f t="shared" si="24"/>
        <v>0</v>
      </c>
      <c r="CR46" s="2958">
        <f t="shared" si="24"/>
        <v>0</v>
      </c>
      <c r="CS46" s="2958">
        <f t="shared" si="24"/>
        <v>0</v>
      </c>
      <c r="CT46" s="2960">
        <f t="shared" si="9"/>
        <v>0</v>
      </c>
      <c r="CU46" s="2958">
        <f t="shared" si="9"/>
        <v>0</v>
      </c>
      <c r="CV46" s="2958">
        <f t="shared" si="9"/>
        <v>0</v>
      </c>
      <c r="CW46" s="2445"/>
      <c r="CX46" s="1968" t="s">
        <v>3499</v>
      </c>
      <c r="CY46" s="1972" t="s">
        <v>2092</v>
      </c>
      <c r="CZ46" s="1973" t="s">
        <v>3498</v>
      </c>
      <c r="DA46" s="2961">
        <f t="shared" si="11"/>
        <v>0</v>
      </c>
      <c r="DB46" s="2961"/>
      <c r="DC46" s="2961"/>
      <c r="DD46" s="2961"/>
      <c r="DE46" s="2961"/>
      <c r="DF46" s="2961"/>
      <c r="DG46" s="2961"/>
      <c r="DH46" s="2961"/>
      <c r="DI46" s="2961"/>
      <c r="DJ46" s="2961"/>
      <c r="DK46" s="2963"/>
      <c r="DL46" s="2961"/>
      <c r="DM46" s="2961"/>
    </row>
    <row r="47" spans="1:117">
      <c r="B47" s="1914">
        <f t="shared" si="23"/>
        <v>3.4</v>
      </c>
      <c r="C47" s="1959" t="str">
        <f t="shared" si="18"/>
        <v>照明制御</v>
      </c>
      <c r="D47" s="1938">
        <f>IF(I$35=0,0,G47/I$35)</f>
        <v>0.25</v>
      </c>
      <c r="E47" s="1939">
        <f>IF(J$35=0,0,H47/J$35)</f>
        <v>0.25</v>
      </c>
      <c r="G47" s="1939">
        <f t="shared" si="19"/>
        <v>0.25</v>
      </c>
      <c r="H47" s="1939">
        <f t="shared" si="20"/>
        <v>3.937007874015748E-3</v>
      </c>
      <c r="I47" s="1939"/>
      <c r="J47" s="1939"/>
      <c r="K47" s="1939">
        <f>IF(スコア!Q47=0,0,1)</f>
        <v>1</v>
      </c>
      <c r="L47" s="1939">
        <f>IF(スコア!T47=0,0,1)</f>
        <v>1</v>
      </c>
      <c r="M47" s="1939">
        <f t="shared" si="21"/>
        <v>0.25</v>
      </c>
      <c r="N47" s="1939">
        <f t="shared" si="22"/>
        <v>3.937007874015748E-3</v>
      </c>
      <c r="P47" s="1940">
        <f t="shared" si="17"/>
        <v>3.4</v>
      </c>
      <c r="Q47" s="1940" t="str">
        <f t="shared" si="17"/>
        <v xml:space="preserve"> Q1 3</v>
      </c>
      <c r="R47" s="1941" t="str">
        <f t="shared" si="17"/>
        <v>照明制御</v>
      </c>
      <c r="S47" s="1942">
        <f t="shared" si="17"/>
        <v>0.25</v>
      </c>
      <c r="T47" s="1942">
        <f t="shared" si="17"/>
        <v>0.25</v>
      </c>
      <c r="U47" s="1942">
        <f t="shared" si="17"/>
        <v>0.5</v>
      </c>
      <c r="V47" s="1942">
        <f t="shared" si="17"/>
        <v>0</v>
      </c>
      <c r="W47" s="1942">
        <f t="shared" si="17"/>
        <v>0.25</v>
      </c>
      <c r="X47" s="1942">
        <f t="shared" si="17"/>
        <v>0.25</v>
      </c>
      <c r="Y47" s="1942">
        <f t="shared" si="17"/>
        <v>0.25</v>
      </c>
      <c r="Z47" s="1960">
        <f t="shared" si="17"/>
        <v>0.5</v>
      </c>
      <c r="AA47" s="1942">
        <f t="shared" si="17"/>
        <v>0.25</v>
      </c>
      <c r="AB47" s="1942">
        <f t="shared" si="8"/>
        <v>0.25</v>
      </c>
      <c r="AC47" s="1943">
        <f t="shared" si="8"/>
        <v>0.25</v>
      </c>
      <c r="AD47" s="1942">
        <f t="shared" si="8"/>
        <v>0.25</v>
      </c>
      <c r="AE47" s="1942">
        <f t="shared" si="8"/>
        <v>0.25</v>
      </c>
      <c r="AG47" s="1940">
        <v>3.4</v>
      </c>
      <c r="AH47" s="1944" t="s">
        <v>2083</v>
      </c>
      <c r="AI47" s="1941" t="s">
        <v>805</v>
      </c>
      <c r="AJ47" s="1942">
        <v>0.25</v>
      </c>
      <c r="AK47" s="1942">
        <v>0.25</v>
      </c>
      <c r="AL47" s="1942">
        <v>0.5</v>
      </c>
      <c r="AM47" s="1942"/>
      <c r="AN47" s="1942">
        <v>0.25</v>
      </c>
      <c r="AO47" s="1942">
        <v>0.25</v>
      </c>
      <c r="AP47" s="1942">
        <v>0.25</v>
      </c>
      <c r="AQ47" s="1960"/>
      <c r="AR47" s="1942">
        <v>0.25</v>
      </c>
      <c r="AS47" s="1947">
        <v>0.25</v>
      </c>
      <c r="AT47" s="1948">
        <v>0.25</v>
      </c>
      <c r="AU47" s="1947">
        <v>0.25</v>
      </c>
      <c r="AV47" s="1947">
        <v>0.25</v>
      </c>
      <c r="AX47" s="1940">
        <v>3.4</v>
      </c>
      <c r="AY47" s="1944" t="s">
        <v>2083</v>
      </c>
      <c r="AZ47" s="1941" t="s">
        <v>805</v>
      </c>
      <c r="BA47" s="1947">
        <v>0.25</v>
      </c>
      <c r="BB47" s="1947">
        <v>0.25</v>
      </c>
      <c r="BC47" s="1947">
        <v>0.5</v>
      </c>
      <c r="BD47" s="1947">
        <v>0</v>
      </c>
      <c r="BE47" s="1947">
        <v>0.25</v>
      </c>
      <c r="BF47" s="1947">
        <v>0.25</v>
      </c>
      <c r="BG47" s="1947">
        <v>0.25</v>
      </c>
      <c r="BH47" s="1949"/>
      <c r="BI47" s="1947">
        <v>0.25</v>
      </c>
      <c r="BJ47" s="1947">
        <v>0.25</v>
      </c>
      <c r="BK47" s="1948">
        <v>0.25</v>
      </c>
      <c r="BL47" s="1947">
        <v>0.25</v>
      </c>
      <c r="BM47" s="1947">
        <v>0.25</v>
      </c>
      <c r="BO47" s="1940">
        <v>3.4</v>
      </c>
      <c r="BP47" s="1944" t="s">
        <v>2083</v>
      </c>
      <c r="BQ47" s="1941" t="s">
        <v>3732</v>
      </c>
      <c r="BR47" s="1947">
        <v>0.25</v>
      </c>
      <c r="BS47" s="1947">
        <v>0.25</v>
      </c>
      <c r="BT47" s="1947">
        <v>0.5</v>
      </c>
      <c r="BU47" s="1947"/>
      <c r="BV47" s="1947">
        <v>0.25</v>
      </c>
      <c r="BW47" s="1947">
        <v>0.25</v>
      </c>
      <c r="BX47" s="1947">
        <v>0.25</v>
      </c>
      <c r="BY47" s="1949">
        <v>0.5</v>
      </c>
      <c r="BZ47" s="1947">
        <v>0.25</v>
      </c>
      <c r="CA47" s="1947">
        <v>0.25</v>
      </c>
      <c r="CB47" s="1948">
        <v>0.25</v>
      </c>
      <c r="CC47" s="1947">
        <v>0.25</v>
      </c>
      <c r="CD47" s="1947">
        <v>0.25</v>
      </c>
      <c r="CE47" s="2302"/>
      <c r="CG47" s="1940">
        <v>3.4</v>
      </c>
      <c r="CH47" s="1944" t="s">
        <v>2083</v>
      </c>
      <c r="CI47" s="1941" t="s">
        <v>805</v>
      </c>
      <c r="CJ47" s="2943">
        <f t="shared" si="25"/>
        <v>0.25</v>
      </c>
      <c r="CK47" s="2943">
        <f t="shared" si="25"/>
        <v>0.25</v>
      </c>
      <c r="CL47" s="2943">
        <f t="shared" si="25"/>
        <v>0.5</v>
      </c>
      <c r="CM47" s="2943">
        <f t="shared" si="25"/>
        <v>0</v>
      </c>
      <c r="CN47" s="2943">
        <f t="shared" si="24"/>
        <v>0.25</v>
      </c>
      <c r="CO47" s="2943">
        <f t="shared" si="24"/>
        <v>0.25</v>
      </c>
      <c r="CP47" s="2943">
        <f t="shared" si="24"/>
        <v>0.25</v>
      </c>
      <c r="CQ47" s="2943">
        <f t="shared" si="24"/>
        <v>0.5</v>
      </c>
      <c r="CR47" s="2943">
        <f t="shared" si="24"/>
        <v>0.25</v>
      </c>
      <c r="CS47" s="2943">
        <f t="shared" si="24"/>
        <v>0.25</v>
      </c>
      <c r="CT47" s="2947">
        <f t="shared" si="9"/>
        <v>0.25</v>
      </c>
      <c r="CU47" s="2943">
        <f t="shared" si="9"/>
        <v>0.25</v>
      </c>
      <c r="CV47" s="2943">
        <f t="shared" si="9"/>
        <v>0.25</v>
      </c>
      <c r="CW47" s="2445"/>
      <c r="CX47" s="1940">
        <v>3.4</v>
      </c>
      <c r="CY47" s="1944" t="s">
        <v>2083</v>
      </c>
      <c r="CZ47" s="1941" t="s">
        <v>805</v>
      </c>
      <c r="DA47" s="2945">
        <f t="shared" si="11"/>
        <v>0.25</v>
      </c>
      <c r="DB47" s="2945"/>
      <c r="DC47" s="2945"/>
      <c r="DD47" s="2945"/>
      <c r="DE47" s="2945"/>
      <c r="DF47" s="2945"/>
      <c r="DG47" s="2945"/>
      <c r="DH47" s="2945"/>
      <c r="DI47" s="2945"/>
      <c r="DJ47" s="2945"/>
      <c r="DK47" s="2949"/>
      <c r="DL47" s="2945"/>
      <c r="DM47" s="2945"/>
    </row>
    <row r="48" spans="1:117" s="1328" customFormat="1">
      <c r="A48"/>
      <c r="B48" s="1914">
        <f t="shared" si="23"/>
        <v>4</v>
      </c>
      <c r="C48" s="1955" t="str">
        <f t="shared" si="18"/>
        <v>空気質環境</v>
      </c>
      <c r="D48" s="1925">
        <f>IF(I$9=0,0,G48/I$9)</f>
        <v>0.25</v>
      </c>
      <c r="E48" s="1926">
        <f>IF(J$9=0,0,H48/J$9)</f>
        <v>0</v>
      </c>
      <c r="F48"/>
      <c r="G48" s="1926">
        <f t="shared" si="19"/>
        <v>0.25</v>
      </c>
      <c r="H48" s="1926">
        <f t="shared" si="20"/>
        <v>0</v>
      </c>
      <c r="I48" s="1926">
        <f>G49+G54+G59</f>
        <v>1</v>
      </c>
      <c r="J48" s="1926">
        <f>H49+H54+H59</f>
        <v>1.5748031496062992E-2</v>
      </c>
      <c r="K48" s="1926">
        <f>IF(スコア!Q48=0,0,1)</f>
        <v>1</v>
      </c>
      <c r="L48" s="1926">
        <f>IF(スコア!T48=0,0,1)</f>
        <v>1</v>
      </c>
      <c r="M48" s="1926">
        <f t="shared" si="21"/>
        <v>0.25</v>
      </c>
      <c r="N48" s="1926">
        <f t="shared" si="22"/>
        <v>0</v>
      </c>
      <c r="O48"/>
      <c r="P48" s="1928">
        <f t="shared" si="17"/>
        <v>4</v>
      </c>
      <c r="Q48" s="1928" t="str">
        <f t="shared" si="17"/>
        <v xml:space="preserve"> Q1</v>
      </c>
      <c r="R48" s="1929" t="str">
        <f t="shared" si="17"/>
        <v>空気質環境</v>
      </c>
      <c r="S48" s="1930">
        <f t="shared" si="17"/>
        <v>0.25</v>
      </c>
      <c r="T48" s="1930">
        <f t="shared" si="17"/>
        <v>0.25</v>
      </c>
      <c r="U48" s="1930">
        <f t="shared" si="17"/>
        <v>0.25</v>
      </c>
      <c r="V48" s="1930">
        <f t="shared" si="17"/>
        <v>0.25</v>
      </c>
      <c r="W48" s="1930">
        <f t="shared" si="17"/>
        <v>0.25</v>
      </c>
      <c r="X48" s="1930">
        <f t="shared" si="17"/>
        <v>0.25</v>
      </c>
      <c r="Y48" s="1930">
        <f t="shared" si="17"/>
        <v>0.25</v>
      </c>
      <c r="Z48" s="1956">
        <f t="shared" si="17"/>
        <v>0.25</v>
      </c>
      <c r="AA48" s="1930">
        <f t="shared" si="17"/>
        <v>0.25</v>
      </c>
      <c r="AB48" s="1930">
        <f t="shared" si="8"/>
        <v>0.25</v>
      </c>
      <c r="AC48" s="1932">
        <f t="shared" si="8"/>
        <v>0</v>
      </c>
      <c r="AD48" s="1930">
        <f t="shared" si="8"/>
        <v>0</v>
      </c>
      <c r="AE48" s="1930">
        <f t="shared" si="8"/>
        <v>0</v>
      </c>
      <c r="AF48"/>
      <c r="AG48" s="1928">
        <v>4</v>
      </c>
      <c r="AH48" s="1933" t="s">
        <v>767</v>
      </c>
      <c r="AI48" s="1957" t="s">
        <v>71</v>
      </c>
      <c r="AJ48" s="1980">
        <v>0.25</v>
      </c>
      <c r="AK48" s="1980">
        <v>0.25</v>
      </c>
      <c r="AL48" s="1980">
        <v>0.25</v>
      </c>
      <c r="AM48" s="1980">
        <v>0.25</v>
      </c>
      <c r="AN48" s="1980">
        <v>0.25</v>
      </c>
      <c r="AO48" s="1980">
        <v>0.25</v>
      </c>
      <c r="AP48" s="1980">
        <v>0.25</v>
      </c>
      <c r="AQ48" s="1958">
        <v>0.33</v>
      </c>
      <c r="AR48" s="1980">
        <v>0.25</v>
      </c>
      <c r="AS48" s="1934">
        <v>0.25</v>
      </c>
      <c r="AT48" s="1935"/>
      <c r="AU48" s="1934"/>
      <c r="AV48" s="1934"/>
      <c r="AW48"/>
      <c r="AX48" s="1928">
        <v>4</v>
      </c>
      <c r="AY48" s="1933" t="s">
        <v>767</v>
      </c>
      <c r="AZ48" s="1957" t="s">
        <v>71</v>
      </c>
      <c r="BA48" s="1934">
        <v>0.25</v>
      </c>
      <c r="BB48" s="1934">
        <v>0.25</v>
      </c>
      <c r="BC48" s="1934">
        <v>0.25</v>
      </c>
      <c r="BD48" s="1934">
        <v>0.25</v>
      </c>
      <c r="BE48" s="1934">
        <v>0.25</v>
      </c>
      <c r="BF48" s="1934">
        <v>0.25</v>
      </c>
      <c r="BG48" s="1934">
        <v>0.25</v>
      </c>
      <c r="BH48" s="1958">
        <v>0.33</v>
      </c>
      <c r="BI48" s="1934">
        <v>0.25</v>
      </c>
      <c r="BJ48" s="1934">
        <v>0.25</v>
      </c>
      <c r="BK48" s="1935"/>
      <c r="BL48" s="1934"/>
      <c r="BM48" s="1934"/>
      <c r="BN48"/>
      <c r="BO48" s="1928">
        <v>4</v>
      </c>
      <c r="BP48" s="1933" t="s">
        <v>767</v>
      </c>
      <c r="BQ48" s="1957" t="s">
        <v>3733</v>
      </c>
      <c r="BR48" s="1980">
        <v>0.25</v>
      </c>
      <c r="BS48" s="1980">
        <v>0.25</v>
      </c>
      <c r="BT48" s="1980">
        <v>0.25</v>
      </c>
      <c r="BU48" s="1980">
        <v>0.25</v>
      </c>
      <c r="BV48" s="1980">
        <v>0.25</v>
      </c>
      <c r="BW48" s="1980">
        <v>0.25</v>
      </c>
      <c r="BX48" s="1980">
        <v>0.25</v>
      </c>
      <c r="BY48" s="1958">
        <v>0.25</v>
      </c>
      <c r="BZ48" s="1980">
        <v>0.25</v>
      </c>
      <c r="CA48" s="1980">
        <v>0.25</v>
      </c>
      <c r="CB48" s="1981"/>
      <c r="CC48" s="1980"/>
      <c r="CD48" s="1980"/>
      <c r="CE48" s="2304"/>
      <c r="CF48"/>
      <c r="CG48" s="1928">
        <v>4</v>
      </c>
      <c r="CH48" s="1933" t="s">
        <v>767</v>
      </c>
      <c r="CI48" s="1957" t="s">
        <v>71</v>
      </c>
      <c r="CJ48" s="2937">
        <f t="shared" si="25"/>
        <v>0.25</v>
      </c>
      <c r="CK48" s="2937">
        <f t="shared" si="25"/>
        <v>0.25</v>
      </c>
      <c r="CL48" s="2937">
        <f t="shared" si="25"/>
        <v>0.25</v>
      </c>
      <c r="CM48" s="2937">
        <f t="shared" si="25"/>
        <v>0.25</v>
      </c>
      <c r="CN48" s="2937">
        <f t="shared" si="24"/>
        <v>0.25</v>
      </c>
      <c r="CO48" s="2937">
        <f t="shared" si="24"/>
        <v>0.25</v>
      </c>
      <c r="CP48" s="2937">
        <f t="shared" si="24"/>
        <v>0.25</v>
      </c>
      <c r="CQ48" s="2937">
        <f t="shared" si="24"/>
        <v>0.25</v>
      </c>
      <c r="CR48" s="2937">
        <f t="shared" si="24"/>
        <v>0.25</v>
      </c>
      <c r="CS48" s="2937">
        <f t="shared" si="24"/>
        <v>0.25</v>
      </c>
      <c r="CT48" s="2939">
        <f t="shared" si="9"/>
        <v>0</v>
      </c>
      <c r="CU48" s="2937">
        <f t="shared" si="9"/>
        <v>0</v>
      </c>
      <c r="CV48" s="2937">
        <f t="shared" si="9"/>
        <v>0</v>
      </c>
      <c r="CW48" s="2445"/>
      <c r="CX48" s="1928">
        <v>4</v>
      </c>
      <c r="CY48" s="1933" t="s">
        <v>767</v>
      </c>
      <c r="CZ48" s="1957" t="s">
        <v>71</v>
      </c>
      <c r="DA48" s="2940">
        <f t="shared" si="11"/>
        <v>0.25</v>
      </c>
      <c r="DB48" s="2940"/>
      <c r="DC48" s="2940"/>
      <c r="DD48" s="2940"/>
      <c r="DE48" s="2940"/>
      <c r="DF48" s="2940"/>
      <c r="DG48" s="2940"/>
      <c r="DH48" s="2940"/>
      <c r="DI48" s="2940"/>
      <c r="DJ48" s="2940"/>
      <c r="DK48" s="2942"/>
      <c r="DL48" s="2940"/>
      <c r="DM48" s="2940"/>
    </row>
    <row r="49" spans="1:117">
      <c r="B49" s="1914">
        <f t="shared" si="23"/>
        <v>4.0999999999999996</v>
      </c>
      <c r="C49" s="1959" t="str">
        <f t="shared" si="18"/>
        <v>発生源対策</v>
      </c>
      <c r="D49" s="1938">
        <f>IF(I$48=0,0,G49/I$48)</f>
        <v>0.50157480314960634</v>
      </c>
      <c r="E49" s="1939">
        <f>IF(J$48=0,0,H49/J$48)</f>
        <v>0.625</v>
      </c>
      <c r="G49" s="1939">
        <f t="shared" si="19"/>
        <v>0.50157480314960634</v>
      </c>
      <c r="H49" s="1939">
        <f t="shared" si="20"/>
        <v>9.8425196850393699E-3</v>
      </c>
      <c r="I49" s="1939">
        <f>SUM(G50:G53)</f>
        <v>1</v>
      </c>
      <c r="J49" s="1939">
        <f>SUM(H50:H53)</f>
        <v>1.5748031496062992E-2</v>
      </c>
      <c r="K49" s="1939">
        <f>IF(スコア!Q49=0,0,1)</f>
        <v>1</v>
      </c>
      <c r="L49" s="1939">
        <f>IF(スコア!T49=0,0,1)</f>
        <v>1</v>
      </c>
      <c r="M49" s="1939">
        <f t="shared" si="21"/>
        <v>0.50157480314960634</v>
      </c>
      <c r="N49" s="1939">
        <f t="shared" si="22"/>
        <v>9.8425196850393699E-3</v>
      </c>
      <c r="P49" s="1940">
        <f t="shared" si="17"/>
        <v>4.0999999999999996</v>
      </c>
      <c r="Q49" s="1940" t="str">
        <f t="shared" si="17"/>
        <v xml:space="preserve"> Q1 4</v>
      </c>
      <c r="R49" s="1941" t="str">
        <f t="shared" si="17"/>
        <v>発生源対策</v>
      </c>
      <c r="S49" s="1942">
        <f t="shared" si="17"/>
        <v>0.5</v>
      </c>
      <c r="T49" s="1942">
        <f t="shared" si="17"/>
        <v>0.5</v>
      </c>
      <c r="U49" s="1942">
        <f t="shared" si="17"/>
        <v>0.5</v>
      </c>
      <c r="V49" s="1942">
        <f t="shared" si="17"/>
        <v>0.5</v>
      </c>
      <c r="W49" s="1942">
        <f t="shared" si="17"/>
        <v>0.5</v>
      </c>
      <c r="X49" s="1942">
        <f t="shared" si="17"/>
        <v>0.5</v>
      </c>
      <c r="Y49" s="1942">
        <f t="shared" si="17"/>
        <v>0.6</v>
      </c>
      <c r="Z49" s="1951">
        <f t="shared" si="17"/>
        <v>0.5</v>
      </c>
      <c r="AA49" s="1942">
        <f t="shared" si="17"/>
        <v>0.5</v>
      </c>
      <c r="AB49" s="1942">
        <f t="shared" si="8"/>
        <v>0.5</v>
      </c>
      <c r="AC49" s="1943">
        <f t="shared" si="8"/>
        <v>0.625</v>
      </c>
      <c r="AD49" s="1942">
        <f t="shared" si="8"/>
        <v>0.625</v>
      </c>
      <c r="AE49" s="1942">
        <f t="shared" si="8"/>
        <v>0.625</v>
      </c>
      <c r="AG49" s="1940">
        <v>4.0999999999999996</v>
      </c>
      <c r="AH49" s="1944" t="s">
        <v>2093</v>
      </c>
      <c r="AI49" s="1941" t="s">
        <v>807</v>
      </c>
      <c r="AJ49" s="1982">
        <v>0.5</v>
      </c>
      <c r="AK49" s="1982">
        <v>0.5</v>
      </c>
      <c r="AL49" s="1982">
        <v>0.5</v>
      </c>
      <c r="AM49" s="1982">
        <v>0.5</v>
      </c>
      <c r="AN49" s="1982">
        <v>0.5</v>
      </c>
      <c r="AO49" s="1982">
        <v>0.5</v>
      </c>
      <c r="AP49" s="1982">
        <v>0.6</v>
      </c>
      <c r="AQ49" s="1983">
        <v>0.5</v>
      </c>
      <c r="AR49" s="1982">
        <v>0.5</v>
      </c>
      <c r="AS49" s="1947">
        <v>0.5</v>
      </c>
      <c r="AT49" s="1948">
        <v>0.625</v>
      </c>
      <c r="AU49" s="1947">
        <v>0.625</v>
      </c>
      <c r="AV49" s="1947">
        <v>0.625</v>
      </c>
      <c r="AX49" s="1940">
        <v>4.0999999999999996</v>
      </c>
      <c r="AY49" s="1944" t="s">
        <v>2093</v>
      </c>
      <c r="AZ49" s="1941" t="s">
        <v>807</v>
      </c>
      <c r="BA49" s="1947">
        <v>0.5</v>
      </c>
      <c r="BB49" s="1947">
        <v>0.5</v>
      </c>
      <c r="BC49" s="1947">
        <v>0.5</v>
      </c>
      <c r="BD49" s="1947">
        <v>0.5</v>
      </c>
      <c r="BE49" s="1947">
        <v>0.5</v>
      </c>
      <c r="BF49" s="1947">
        <v>0.5</v>
      </c>
      <c r="BG49" s="1947">
        <v>0.6</v>
      </c>
      <c r="BH49" s="1954">
        <v>0.5</v>
      </c>
      <c r="BI49" s="1947">
        <v>0.5</v>
      </c>
      <c r="BJ49" s="1947">
        <v>0.5</v>
      </c>
      <c r="BK49" s="1948">
        <v>0.625</v>
      </c>
      <c r="BL49" s="1947">
        <v>0.625</v>
      </c>
      <c r="BM49" s="1947">
        <v>0.625</v>
      </c>
      <c r="BO49" s="1940">
        <v>4.0999999999999996</v>
      </c>
      <c r="BP49" s="1944" t="s">
        <v>2093</v>
      </c>
      <c r="BQ49" s="1941" t="s">
        <v>3734</v>
      </c>
      <c r="BR49" s="1982">
        <v>0.5</v>
      </c>
      <c r="BS49" s="1982">
        <v>0.5</v>
      </c>
      <c r="BT49" s="1982">
        <v>0.5</v>
      </c>
      <c r="BU49" s="1982">
        <v>0.5</v>
      </c>
      <c r="BV49" s="1982">
        <v>0.5</v>
      </c>
      <c r="BW49" s="1982">
        <v>0.5</v>
      </c>
      <c r="BX49" s="1982">
        <v>0.6</v>
      </c>
      <c r="BY49" s="1983">
        <v>0.5</v>
      </c>
      <c r="BZ49" s="1982">
        <v>0.5</v>
      </c>
      <c r="CA49" s="1982">
        <v>0.5</v>
      </c>
      <c r="CB49" s="1984">
        <v>0.625</v>
      </c>
      <c r="CC49" s="1982">
        <v>0.625</v>
      </c>
      <c r="CD49" s="1982">
        <v>0.625</v>
      </c>
      <c r="CE49" s="2303"/>
      <c r="CG49" s="1940">
        <v>4.0999999999999996</v>
      </c>
      <c r="CH49" s="1944" t="s">
        <v>2093</v>
      </c>
      <c r="CI49" s="1941" t="s">
        <v>807</v>
      </c>
      <c r="CJ49" s="2943">
        <f t="shared" si="25"/>
        <v>0.5</v>
      </c>
      <c r="CK49" s="2943">
        <f t="shared" si="25"/>
        <v>0.5</v>
      </c>
      <c r="CL49" s="2943">
        <f t="shared" si="25"/>
        <v>0.5</v>
      </c>
      <c r="CM49" s="2943">
        <f t="shared" si="25"/>
        <v>0.5</v>
      </c>
      <c r="CN49" s="2943">
        <f t="shared" si="24"/>
        <v>0.5</v>
      </c>
      <c r="CO49" s="2943">
        <f t="shared" si="24"/>
        <v>0.5</v>
      </c>
      <c r="CP49" s="2943">
        <f t="shared" si="24"/>
        <v>0.6</v>
      </c>
      <c r="CQ49" s="2943">
        <f t="shared" si="24"/>
        <v>0.5</v>
      </c>
      <c r="CR49" s="2943">
        <f t="shared" si="24"/>
        <v>0.5</v>
      </c>
      <c r="CS49" s="2943">
        <f t="shared" si="24"/>
        <v>0.5</v>
      </c>
      <c r="CT49" s="2947">
        <f t="shared" si="9"/>
        <v>0.625</v>
      </c>
      <c r="CU49" s="2943">
        <f t="shared" si="9"/>
        <v>0.625</v>
      </c>
      <c r="CV49" s="2943">
        <f t="shared" si="9"/>
        <v>0.625</v>
      </c>
      <c r="CW49" s="2445"/>
      <c r="CX49" s="1940">
        <v>4.0999999999999996</v>
      </c>
      <c r="CY49" s="1944" t="s">
        <v>2093</v>
      </c>
      <c r="CZ49" s="1941" t="s">
        <v>807</v>
      </c>
      <c r="DA49" s="2945">
        <f t="shared" si="11"/>
        <v>0.5</v>
      </c>
      <c r="DB49" s="2945"/>
      <c r="DC49" s="2945"/>
      <c r="DD49" s="2945"/>
      <c r="DE49" s="2945"/>
      <c r="DF49" s="2945"/>
      <c r="DG49" s="2945"/>
      <c r="DH49" s="2945"/>
      <c r="DI49" s="2945"/>
      <c r="DJ49" s="2945"/>
      <c r="DK49" s="2949"/>
      <c r="DL49" s="2945"/>
      <c r="DM49" s="2945"/>
    </row>
    <row r="50" spans="1:117">
      <c r="B50" s="1914" t="str">
        <f t="shared" si="23"/>
        <v>4.1.1</v>
      </c>
      <c r="C50" s="1959" t="str">
        <f t="shared" si="18"/>
        <v xml:space="preserve"> 化学汚染物質</v>
      </c>
      <c r="D50" s="1927">
        <f t="shared" ref="D50:E53" si="26">IF(I$49&gt;0,G50/I$49,0)</f>
        <v>1</v>
      </c>
      <c r="E50" s="1939">
        <f t="shared" si="26"/>
        <v>1</v>
      </c>
      <c r="G50" s="1939">
        <f t="shared" si="19"/>
        <v>1</v>
      </c>
      <c r="H50" s="1939">
        <f t="shared" si="20"/>
        <v>1.5748031496062992E-2</v>
      </c>
      <c r="I50" s="1939"/>
      <c r="J50" s="1939"/>
      <c r="K50" s="1939">
        <f>IF(スコア!Q50=0,0,1)</f>
        <v>1</v>
      </c>
      <c r="L50" s="1939">
        <f>IF(スコア!T50=0,0,1)</f>
        <v>1</v>
      </c>
      <c r="M50" s="1939">
        <f t="shared" si="21"/>
        <v>1</v>
      </c>
      <c r="N50" s="1939">
        <f t="shared" si="22"/>
        <v>1.5748031496062992E-2</v>
      </c>
      <c r="P50" s="1940" t="str">
        <f t="shared" si="17"/>
        <v>4.1.1</v>
      </c>
      <c r="Q50" s="1940" t="str">
        <f t="shared" si="17"/>
        <v xml:space="preserve"> Q1 4.1</v>
      </c>
      <c r="R50" s="1941" t="str">
        <f t="shared" si="17"/>
        <v xml:space="preserve"> 化学汚染物質</v>
      </c>
      <c r="S50" s="1942">
        <f t="shared" si="17"/>
        <v>1</v>
      </c>
      <c r="T50" s="1942">
        <f t="shared" si="17"/>
        <v>1</v>
      </c>
      <c r="U50" s="1942">
        <f t="shared" si="17"/>
        <v>1</v>
      </c>
      <c r="V50" s="1942">
        <f t="shared" si="17"/>
        <v>1</v>
      </c>
      <c r="W50" s="1942">
        <f t="shared" si="17"/>
        <v>1</v>
      </c>
      <c r="X50" s="1942">
        <f t="shared" si="17"/>
        <v>1</v>
      </c>
      <c r="Y50" s="1942">
        <f t="shared" si="17"/>
        <v>1</v>
      </c>
      <c r="Z50" s="1951">
        <f t="shared" si="17"/>
        <v>1</v>
      </c>
      <c r="AA50" s="1942">
        <f t="shared" si="17"/>
        <v>1</v>
      </c>
      <c r="AB50" s="1942">
        <f t="shared" si="8"/>
        <v>1</v>
      </c>
      <c r="AC50" s="1943">
        <f t="shared" si="8"/>
        <v>1</v>
      </c>
      <c r="AD50" s="1942">
        <f t="shared" si="8"/>
        <v>1</v>
      </c>
      <c r="AE50" s="1942">
        <f t="shared" si="8"/>
        <v>1</v>
      </c>
      <c r="AG50" s="1940" t="s">
        <v>2224</v>
      </c>
      <c r="AH50" s="1944" t="s">
        <v>2094</v>
      </c>
      <c r="AI50" s="1945" t="s">
        <v>2095</v>
      </c>
      <c r="AJ50" s="1982">
        <v>0.25</v>
      </c>
      <c r="AK50" s="1982">
        <v>0.25</v>
      </c>
      <c r="AL50" s="1982">
        <v>0.25</v>
      </c>
      <c r="AM50" s="1982">
        <v>0.25</v>
      </c>
      <c r="AN50" s="1985">
        <v>0.25</v>
      </c>
      <c r="AO50" s="1985">
        <v>0.33</v>
      </c>
      <c r="AP50" s="1985">
        <v>0.33</v>
      </c>
      <c r="AQ50" s="1983">
        <v>0.25</v>
      </c>
      <c r="AR50" s="1982">
        <v>0.25</v>
      </c>
      <c r="AS50" s="1947">
        <v>0.25</v>
      </c>
      <c r="AT50" s="1948">
        <v>0.25</v>
      </c>
      <c r="AU50" s="1947">
        <v>0.25</v>
      </c>
      <c r="AV50" s="1947">
        <v>0.25</v>
      </c>
      <c r="AX50" s="1940" t="s">
        <v>2224</v>
      </c>
      <c r="AY50" s="1944" t="s">
        <v>2094</v>
      </c>
      <c r="AZ50" s="1945" t="s">
        <v>2095</v>
      </c>
      <c r="BA50" s="1947">
        <v>1</v>
      </c>
      <c r="BB50" s="1947">
        <v>1</v>
      </c>
      <c r="BC50" s="1947">
        <v>1</v>
      </c>
      <c r="BD50" s="1947">
        <v>1</v>
      </c>
      <c r="BE50" s="1947">
        <v>1</v>
      </c>
      <c r="BF50" s="1947">
        <v>1</v>
      </c>
      <c r="BG50" s="1947">
        <v>1</v>
      </c>
      <c r="BH50" s="1954">
        <v>1</v>
      </c>
      <c r="BI50" s="1947">
        <v>1</v>
      </c>
      <c r="BJ50" s="1947">
        <v>1</v>
      </c>
      <c r="BK50" s="1948">
        <v>1</v>
      </c>
      <c r="BL50" s="1947">
        <v>1</v>
      </c>
      <c r="BM50" s="1947">
        <v>1</v>
      </c>
      <c r="BO50" s="1940" t="s">
        <v>3682</v>
      </c>
      <c r="BP50" s="1944" t="s">
        <v>2094</v>
      </c>
      <c r="BQ50" s="1945" t="s">
        <v>2095</v>
      </c>
      <c r="BR50" s="1982">
        <v>1</v>
      </c>
      <c r="BS50" s="1982">
        <v>1</v>
      </c>
      <c r="BT50" s="1982">
        <v>1</v>
      </c>
      <c r="BU50" s="1982">
        <v>1</v>
      </c>
      <c r="BV50" s="1982">
        <v>1</v>
      </c>
      <c r="BW50" s="1982">
        <v>1</v>
      </c>
      <c r="BX50" s="1982">
        <v>1</v>
      </c>
      <c r="BY50" s="1982">
        <v>1</v>
      </c>
      <c r="BZ50" s="1982">
        <v>1</v>
      </c>
      <c r="CA50" s="1982">
        <v>1</v>
      </c>
      <c r="CB50" s="1982">
        <v>1</v>
      </c>
      <c r="CC50" s="1982">
        <v>1</v>
      </c>
      <c r="CD50" s="1982">
        <v>1</v>
      </c>
      <c r="CE50" s="2303"/>
      <c r="CG50" s="1940" t="s">
        <v>3500</v>
      </c>
      <c r="CH50" s="1944" t="s">
        <v>2094</v>
      </c>
      <c r="CI50" s="1945" t="s">
        <v>2095</v>
      </c>
      <c r="CJ50" s="2943">
        <f t="shared" si="25"/>
        <v>1</v>
      </c>
      <c r="CK50" s="2943">
        <f t="shared" si="25"/>
        <v>1</v>
      </c>
      <c r="CL50" s="2943">
        <f t="shared" si="25"/>
        <v>1</v>
      </c>
      <c r="CM50" s="2943">
        <f t="shared" si="25"/>
        <v>1</v>
      </c>
      <c r="CN50" s="2943">
        <f t="shared" si="24"/>
        <v>1</v>
      </c>
      <c r="CO50" s="2943">
        <f t="shared" si="24"/>
        <v>1</v>
      </c>
      <c r="CP50" s="2943">
        <f t="shared" si="24"/>
        <v>1</v>
      </c>
      <c r="CQ50" s="2943">
        <f t="shared" si="24"/>
        <v>1</v>
      </c>
      <c r="CR50" s="2943">
        <f t="shared" si="24"/>
        <v>1</v>
      </c>
      <c r="CS50" s="2943">
        <f t="shared" si="24"/>
        <v>1</v>
      </c>
      <c r="CT50" s="2943">
        <f t="shared" si="9"/>
        <v>1</v>
      </c>
      <c r="CU50" s="2943">
        <f t="shared" si="9"/>
        <v>1</v>
      </c>
      <c r="CV50" s="2943">
        <f t="shared" si="9"/>
        <v>1</v>
      </c>
      <c r="CW50" s="2445"/>
      <c r="CX50" s="1940" t="s">
        <v>3500</v>
      </c>
      <c r="CY50" s="1944" t="s">
        <v>2094</v>
      </c>
      <c r="CZ50" s="1945" t="s">
        <v>2095</v>
      </c>
      <c r="DA50" s="2945">
        <f t="shared" si="11"/>
        <v>1</v>
      </c>
      <c r="DB50" s="2945"/>
      <c r="DC50" s="2945"/>
      <c r="DD50" s="2945"/>
      <c r="DE50" s="2945"/>
      <c r="DF50" s="2945"/>
      <c r="DG50" s="2945"/>
      <c r="DH50" s="2945"/>
      <c r="DI50" s="2945"/>
      <c r="DJ50" s="2945"/>
      <c r="DK50" s="2945"/>
      <c r="DL50" s="2945"/>
      <c r="DM50" s="2945"/>
    </row>
    <row r="51" spans="1:117" hidden="1">
      <c r="B51" s="1914" t="str">
        <f t="shared" si="23"/>
        <v>4.1.2</v>
      </c>
      <c r="C51" s="1965">
        <f t="shared" si="18"/>
        <v>0</v>
      </c>
      <c r="D51" s="1966">
        <f t="shared" si="26"/>
        <v>0</v>
      </c>
      <c r="E51" s="1967">
        <f t="shared" si="26"/>
        <v>0</v>
      </c>
      <c r="G51" s="1967">
        <f t="shared" si="19"/>
        <v>0</v>
      </c>
      <c r="H51" s="1967">
        <f t="shared" si="20"/>
        <v>0</v>
      </c>
      <c r="I51" s="1967"/>
      <c r="J51" s="1967"/>
      <c r="K51" s="1967">
        <f>IF(スコア!Q51=0,0,1)</f>
        <v>0</v>
      </c>
      <c r="L51" s="1967">
        <f>IF(スコア!T51=0,0,1)</f>
        <v>0</v>
      </c>
      <c r="M51" s="1967">
        <f t="shared" si="21"/>
        <v>0</v>
      </c>
      <c r="N51" s="1967">
        <f t="shared" si="22"/>
        <v>0</v>
      </c>
      <c r="P51" s="1968" t="str">
        <f t="shared" si="17"/>
        <v>4.1.2</v>
      </c>
      <c r="Q51" s="1968" t="str">
        <f t="shared" si="17"/>
        <v xml:space="preserve"> Q1 4.1</v>
      </c>
      <c r="R51" s="1969">
        <f t="shared" si="17"/>
        <v>0</v>
      </c>
      <c r="S51" s="1952">
        <f t="shared" si="17"/>
        <v>0</v>
      </c>
      <c r="T51" s="1952">
        <f t="shared" si="17"/>
        <v>0</v>
      </c>
      <c r="U51" s="1952">
        <f t="shared" si="17"/>
        <v>0</v>
      </c>
      <c r="V51" s="1952">
        <f t="shared" si="17"/>
        <v>0</v>
      </c>
      <c r="W51" s="1952">
        <f t="shared" si="17"/>
        <v>0</v>
      </c>
      <c r="X51" s="1952">
        <f t="shared" si="17"/>
        <v>0</v>
      </c>
      <c r="Y51" s="1952">
        <f t="shared" si="17"/>
        <v>0</v>
      </c>
      <c r="Z51" s="1970">
        <f t="shared" si="17"/>
        <v>0</v>
      </c>
      <c r="AA51" s="1952">
        <f t="shared" si="17"/>
        <v>0</v>
      </c>
      <c r="AB51" s="1952">
        <f t="shared" si="8"/>
        <v>0</v>
      </c>
      <c r="AC51" s="1971">
        <f t="shared" si="8"/>
        <v>0</v>
      </c>
      <c r="AD51" s="1952">
        <f t="shared" si="8"/>
        <v>0</v>
      </c>
      <c r="AE51" s="1952">
        <f t="shared" si="8"/>
        <v>0</v>
      </c>
      <c r="AG51" s="1940" t="s">
        <v>2225</v>
      </c>
      <c r="AH51" s="1944" t="s">
        <v>2094</v>
      </c>
      <c r="AI51" s="1945" t="s">
        <v>2226</v>
      </c>
      <c r="AJ51" s="1982">
        <v>0.25</v>
      </c>
      <c r="AK51" s="1982">
        <v>0.25</v>
      </c>
      <c r="AL51" s="1982">
        <v>0.25</v>
      </c>
      <c r="AM51" s="1982">
        <v>0.25</v>
      </c>
      <c r="AN51" s="1985">
        <v>0.25</v>
      </c>
      <c r="AO51" s="1985">
        <v>0.33</v>
      </c>
      <c r="AP51" s="1985">
        <v>0.33</v>
      </c>
      <c r="AQ51" s="1983">
        <v>0.25</v>
      </c>
      <c r="AR51" s="1982">
        <v>0.25</v>
      </c>
      <c r="AS51" s="1947">
        <v>0.25</v>
      </c>
      <c r="AT51" s="1948">
        <v>0.25</v>
      </c>
      <c r="AU51" s="1947">
        <v>0.25</v>
      </c>
      <c r="AV51" s="1947">
        <v>0.25</v>
      </c>
      <c r="AX51" s="1968" t="s">
        <v>2225</v>
      </c>
      <c r="AY51" s="1972" t="s">
        <v>2094</v>
      </c>
      <c r="AZ51" s="1973" t="s">
        <v>2226</v>
      </c>
      <c r="BA51" s="1974"/>
      <c r="BB51" s="1974"/>
      <c r="BC51" s="1974"/>
      <c r="BD51" s="1974"/>
      <c r="BE51" s="1974"/>
      <c r="BF51" s="1974"/>
      <c r="BG51" s="1974"/>
      <c r="BH51" s="1975"/>
      <c r="BI51" s="1974"/>
      <c r="BJ51" s="1974"/>
      <c r="BK51" s="1976"/>
      <c r="BL51" s="1974"/>
      <c r="BM51" s="1974"/>
      <c r="BO51" s="1968" t="s">
        <v>3683</v>
      </c>
      <c r="BP51" s="1972" t="s">
        <v>2094</v>
      </c>
      <c r="BQ51" s="1973"/>
      <c r="BR51" s="1977"/>
      <c r="BS51" s="1977"/>
      <c r="BT51" s="1977"/>
      <c r="BU51" s="1977"/>
      <c r="BV51" s="1977"/>
      <c r="BW51" s="1977"/>
      <c r="BX51" s="1977"/>
      <c r="BY51" s="1978"/>
      <c r="BZ51" s="1977"/>
      <c r="CA51" s="1977"/>
      <c r="CB51" s="1979"/>
      <c r="CC51" s="1977"/>
      <c r="CD51" s="1977"/>
      <c r="CE51" s="2303"/>
      <c r="CG51" s="1968" t="s">
        <v>3501</v>
      </c>
      <c r="CH51" s="1972" t="s">
        <v>2094</v>
      </c>
      <c r="CI51" s="1973"/>
      <c r="CJ51" s="2958"/>
      <c r="CK51" s="2958"/>
      <c r="CL51" s="2958"/>
      <c r="CM51" s="2958"/>
      <c r="CN51" s="2958"/>
      <c r="CO51" s="2958"/>
      <c r="CP51" s="2958"/>
      <c r="CQ51" s="2959"/>
      <c r="CR51" s="2958"/>
      <c r="CS51" s="2958"/>
      <c r="CT51" s="2960"/>
      <c r="CU51" s="2958"/>
      <c r="CV51" s="2958"/>
      <c r="CW51" s="2445"/>
      <c r="CX51" s="1968"/>
      <c r="CY51" s="1972"/>
      <c r="CZ51" s="1973"/>
      <c r="DA51" s="2961"/>
      <c r="DB51" s="2961"/>
      <c r="DC51" s="2961"/>
      <c r="DD51" s="2961"/>
      <c r="DE51" s="2961"/>
      <c r="DF51" s="2961"/>
      <c r="DG51" s="2961"/>
      <c r="DH51" s="2962"/>
      <c r="DI51" s="2961"/>
      <c r="DJ51" s="2961"/>
      <c r="DK51" s="2963"/>
      <c r="DL51" s="2961"/>
      <c r="DM51" s="2961"/>
    </row>
    <row r="52" spans="1:117" hidden="1">
      <c r="B52" s="1914" t="str">
        <f t="shared" si="23"/>
        <v>4.1.3</v>
      </c>
      <c r="C52" s="1959">
        <f t="shared" si="18"/>
        <v>0</v>
      </c>
      <c r="D52" s="1927">
        <f t="shared" si="26"/>
        <v>0</v>
      </c>
      <c r="E52" s="1939">
        <f t="shared" si="26"/>
        <v>0</v>
      </c>
      <c r="G52" s="1939">
        <f t="shared" si="19"/>
        <v>0</v>
      </c>
      <c r="H52" s="1939">
        <f t="shared" si="20"/>
        <v>0</v>
      </c>
      <c r="I52" s="1939"/>
      <c r="J52" s="1939"/>
      <c r="K52" s="1939">
        <f>IF(スコア!Q52=0,0,1)</f>
        <v>0</v>
      </c>
      <c r="L52" s="1939">
        <f>IF(スコア!T52=0,0,1)</f>
        <v>0</v>
      </c>
      <c r="M52" s="1939">
        <f t="shared" si="21"/>
        <v>0</v>
      </c>
      <c r="N52" s="1939">
        <f t="shared" si="22"/>
        <v>0</v>
      </c>
      <c r="P52" s="1940" t="str">
        <f t="shared" si="17"/>
        <v>4.1.3</v>
      </c>
      <c r="Q52" s="1940" t="str">
        <f t="shared" si="17"/>
        <v xml:space="preserve"> Q1 4.1</v>
      </c>
      <c r="R52" s="1941">
        <f t="shared" si="17"/>
        <v>0</v>
      </c>
      <c r="S52" s="1942">
        <f t="shared" si="17"/>
        <v>0</v>
      </c>
      <c r="T52" s="1942">
        <f t="shared" si="17"/>
        <v>0</v>
      </c>
      <c r="U52" s="1942">
        <f t="shared" si="17"/>
        <v>0</v>
      </c>
      <c r="V52" s="1942">
        <f t="shared" si="17"/>
        <v>0</v>
      </c>
      <c r="W52" s="1942">
        <f t="shared" si="17"/>
        <v>0</v>
      </c>
      <c r="X52" s="1942">
        <f t="shared" si="17"/>
        <v>0</v>
      </c>
      <c r="Y52" s="1942">
        <f t="shared" si="17"/>
        <v>0</v>
      </c>
      <c r="Z52" s="1951">
        <f t="shared" si="17"/>
        <v>0</v>
      </c>
      <c r="AA52" s="1942">
        <f t="shared" si="17"/>
        <v>0</v>
      </c>
      <c r="AB52" s="1942">
        <f t="shared" si="8"/>
        <v>0</v>
      </c>
      <c r="AC52" s="1943">
        <f t="shared" si="8"/>
        <v>0</v>
      </c>
      <c r="AD52" s="1942">
        <f t="shared" si="8"/>
        <v>0</v>
      </c>
      <c r="AE52" s="1942">
        <f t="shared" si="8"/>
        <v>0</v>
      </c>
      <c r="AG52" s="1940" t="s">
        <v>2227</v>
      </c>
      <c r="AH52" s="1944" t="s">
        <v>2094</v>
      </c>
      <c r="AI52" s="1945"/>
      <c r="AJ52" s="1977">
        <v>0.25</v>
      </c>
      <c r="AK52" s="1977">
        <v>0.25</v>
      </c>
      <c r="AL52" s="1977">
        <v>0.25</v>
      </c>
      <c r="AM52" s="1977">
        <v>0.25</v>
      </c>
      <c r="AN52" s="1986">
        <v>0.25</v>
      </c>
      <c r="AO52" s="1986">
        <v>0.33</v>
      </c>
      <c r="AP52" s="1986">
        <v>0.33</v>
      </c>
      <c r="AQ52" s="1978">
        <v>0.25</v>
      </c>
      <c r="AR52" s="1977">
        <v>0.25</v>
      </c>
      <c r="AS52" s="1947">
        <v>0.25</v>
      </c>
      <c r="AT52" s="1948">
        <v>0.25</v>
      </c>
      <c r="AU52" s="1947">
        <v>0.25</v>
      </c>
      <c r="AV52" s="1947">
        <v>0.25</v>
      </c>
      <c r="AX52" s="1940" t="s">
        <v>2227</v>
      </c>
      <c r="AY52" s="1944" t="s">
        <v>2094</v>
      </c>
      <c r="AZ52" s="1945" t="s">
        <v>2096</v>
      </c>
      <c r="BA52" s="1947"/>
      <c r="BB52" s="1947"/>
      <c r="BC52" s="1947"/>
      <c r="BD52" s="1947"/>
      <c r="BE52" s="1947"/>
      <c r="BF52" s="1947"/>
      <c r="BG52" s="1947"/>
      <c r="BH52" s="1954"/>
      <c r="BI52" s="1947"/>
      <c r="BJ52" s="1947"/>
      <c r="BK52" s="1948"/>
      <c r="BL52" s="1947"/>
      <c r="BM52" s="1947"/>
      <c r="BO52" s="1940" t="s">
        <v>3684</v>
      </c>
      <c r="BP52" s="1944" t="s">
        <v>2094</v>
      </c>
      <c r="BQ52" s="1945"/>
      <c r="BR52" s="1982"/>
      <c r="BS52" s="1982"/>
      <c r="BT52" s="1982"/>
      <c r="BU52" s="1982"/>
      <c r="BV52" s="1982"/>
      <c r="BW52" s="1982"/>
      <c r="BX52" s="1982"/>
      <c r="BY52" s="1982"/>
      <c r="BZ52" s="1982"/>
      <c r="CA52" s="1982"/>
      <c r="CB52" s="1982"/>
      <c r="CC52" s="1982"/>
      <c r="CD52" s="1982"/>
      <c r="CE52" s="2303"/>
      <c r="CG52" s="1940" t="s">
        <v>3502</v>
      </c>
      <c r="CH52" s="1944" t="s">
        <v>2094</v>
      </c>
      <c r="CI52" s="1945" t="s">
        <v>2096</v>
      </c>
      <c r="CJ52" s="2943">
        <f t="shared" si="25"/>
        <v>0</v>
      </c>
      <c r="CK52" s="2943">
        <f t="shared" si="25"/>
        <v>0</v>
      </c>
      <c r="CL52" s="2943">
        <f t="shared" si="25"/>
        <v>0</v>
      </c>
      <c r="CM52" s="2943">
        <f t="shared" si="25"/>
        <v>0</v>
      </c>
      <c r="CN52" s="2943">
        <f t="shared" si="24"/>
        <v>0</v>
      </c>
      <c r="CO52" s="2943">
        <f t="shared" si="24"/>
        <v>0</v>
      </c>
      <c r="CP52" s="2943">
        <f t="shared" si="24"/>
        <v>0</v>
      </c>
      <c r="CQ52" s="2946">
        <f t="shared" si="24"/>
        <v>0</v>
      </c>
      <c r="CR52" s="2943">
        <f t="shared" si="24"/>
        <v>0</v>
      </c>
      <c r="CS52" s="2943">
        <f t="shared" si="24"/>
        <v>0</v>
      </c>
      <c r="CT52" s="2943">
        <f t="shared" si="9"/>
        <v>0</v>
      </c>
      <c r="CU52" s="2943">
        <f t="shared" si="9"/>
        <v>0</v>
      </c>
      <c r="CV52" s="2943">
        <f t="shared" si="9"/>
        <v>0</v>
      </c>
      <c r="CW52" s="2445"/>
      <c r="CX52" s="1940" t="s">
        <v>3502</v>
      </c>
      <c r="CY52" s="1944" t="s">
        <v>2094</v>
      </c>
      <c r="CZ52" s="1945" t="s">
        <v>2096</v>
      </c>
      <c r="DA52" s="2945">
        <f t="shared" si="11"/>
        <v>0</v>
      </c>
      <c r="DB52" s="2945"/>
      <c r="DC52" s="2945"/>
      <c r="DD52" s="2945"/>
      <c r="DE52" s="2945"/>
      <c r="DF52" s="2945"/>
      <c r="DG52" s="2945"/>
      <c r="DH52" s="2948"/>
      <c r="DI52" s="2945"/>
      <c r="DJ52" s="2945"/>
      <c r="DK52" s="2945"/>
      <c r="DL52" s="2945"/>
      <c r="DM52" s="2945"/>
    </row>
    <row r="53" spans="1:117" hidden="1">
      <c r="B53" s="1914" t="str">
        <f t="shared" si="23"/>
        <v>4.1.4</v>
      </c>
      <c r="C53" s="1937">
        <f t="shared" si="18"/>
        <v>0</v>
      </c>
      <c r="D53" s="1927">
        <f t="shared" si="26"/>
        <v>0</v>
      </c>
      <c r="E53" s="1939">
        <f t="shared" si="26"/>
        <v>0</v>
      </c>
      <c r="G53" s="1939">
        <f t="shared" si="19"/>
        <v>0</v>
      </c>
      <c r="H53" s="1939">
        <f t="shared" si="20"/>
        <v>0</v>
      </c>
      <c r="I53" s="1939"/>
      <c r="J53" s="1939"/>
      <c r="K53" s="1939">
        <f>IF(スコア!Q53=0,0,1)</f>
        <v>0</v>
      </c>
      <c r="L53" s="1939">
        <f>IF(スコア!T53=0,0,1)</f>
        <v>0</v>
      </c>
      <c r="M53" s="1939">
        <f t="shared" si="21"/>
        <v>0</v>
      </c>
      <c r="N53" s="1939">
        <f t="shared" si="22"/>
        <v>0</v>
      </c>
      <c r="P53" s="1940" t="str">
        <f t="shared" si="17"/>
        <v>4.1.4</v>
      </c>
      <c r="Q53" s="1940" t="str">
        <f t="shared" si="17"/>
        <v xml:space="preserve"> Q1 4.1</v>
      </c>
      <c r="R53" s="1941">
        <f t="shared" si="17"/>
        <v>0</v>
      </c>
      <c r="S53" s="1942">
        <f t="shared" si="17"/>
        <v>0</v>
      </c>
      <c r="T53" s="1942">
        <f t="shared" si="17"/>
        <v>0</v>
      </c>
      <c r="U53" s="1942">
        <f t="shared" si="17"/>
        <v>0</v>
      </c>
      <c r="V53" s="1942">
        <f t="shared" si="17"/>
        <v>0</v>
      </c>
      <c r="W53" s="1942">
        <f t="shared" si="17"/>
        <v>0</v>
      </c>
      <c r="X53" s="1942">
        <f t="shared" si="17"/>
        <v>0</v>
      </c>
      <c r="Y53" s="1942">
        <f t="shared" si="17"/>
        <v>0</v>
      </c>
      <c r="Z53" s="1951">
        <f t="shared" si="17"/>
        <v>0</v>
      </c>
      <c r="AA53" s="1942">
        <f t="shared" si="17"/>
        <v>0</v>
      </c>
      <c r="AB53" s="1942">
        <f t="shared" si="8"/>
        <v>0</v>
      </c>
      <c r="AC53" s="1943">
        <f t="shared" si="8"/>
        <v>0</v>
      </c>
      <c r="AD53" s="1942">
        <f t="shared" si="8"/>
        <v>0</v>
      </c>
      <c r="AE53" s="1942">
        <f t="shared" si="8"/>
        <v>0</v>
      </c>
      <c r="AG53" s="1940" t="s">
        <v>2228</v>
      </c>
      <c r="AH53" s="1944" t="s">
        <v>2094</v>
      </c>
      <c r="AI53" s="1945" t="s">
        <v>2097</v>
      </c>
      <c r="AJ53" s="1982">
        <v>0.25</v>
      </c>
      <c r="AK53" s="1982">
        <v>0.25</v>
      </c>
      <c r="AL53" s="1982">
        <v>0.25</v>
      </c>
      <c r="AM53" s="1982">
        <v>0.25</v>
      </c>
      <c r="AN53" s="1982">
        <v>0.25</v>
      </c>
      <c r="AO53" s="1982"/>
      <c r="AP53" s="1982"/>
      <c r="AQ53" s="1983">
        <v>0.25</v>
      </c>
      <c r="AR53" s="1982">
        <v>0.25</v>
      </c>
      <c r="AS53" s="1947">
        <v>0.25</v>
      </c>
      <c r="AT53" s="1948">
        <v>0.25</v>
      </c>
      <c r="AU53" s="1947">
        <v>0.25</v>
      </c>
      <c r="AV53" s="1947">
        <v>0.25</v>
      </c>
      <c r="AX53" s="1940" t="s">
        <v>2228</v>
      </c>
      <c r="AY53" s="1944" t="s">
        <v>2094</v>
      </c>
      <c r="AZ53" s="1945" t="s">
        <v>2097</v>
      </c>
      <c r="BA53" s="1947"/>
      <c r="BB53" s="1947"/>
      <c r="BC53" s="1947"/>
      <c r="BD53" s="1947"/>
      <c r="BE53" s="1947"/>
      <c r="BF53" s="1947"/>
      <c r="BG53" s="1947"/>
      <c r="BH53" s="1954"/>
      <c r="BI53" s="1947"/>
      <c r="BJ53" s="1947"/>
      <c r="BK53" s="1948"/>
      <c r="BL53" s="1947"/>
      <c r="BM53" s="1947"/>
      <c r="BO53" s="1940" t="s">
        <v>3685</v>
      </c>
      <c r="BP53" s="1944" t="s">
        <v>2094</v>
      </c>
      <c r="BQ53" s="1945"/>
      <c r="BR53" s="1982"/>
      <c r="BS53" s="1982"/>
      <c r="BT53" s="1982"/>
      <c r="BU53" s="1982"/>
      <c r="BV53" s="1982"/>
      <c r="BW53" s="1982"/>
      <c r="BX53" s="1982"/>
      <c r="BY53" s="1982"/>
      <c r="BZ53" s="1982"/>
      <c r="CA53" s="1982"/>
      <c r="CB53" s="1982"/>
      <c r="CC53" s="1982"/>
      <c r="CD53" s="1982"/>
      <c r="CE53" s="2303"/>
      <c r="CG53" s="1940" t="s">
        <v>3503</v>
      </c>
      <c r="CH53" s="1944" t="s">
        <v>2094</v>
      </c>
      <c r="CI53" s="1945" t="s">
        <v>2097</v>
      </c>
      <c r="CJ53" s="2943">
        <f t="shared" si="25"/>
        <v>0</v>
      </c>
      <c r="CK53" s="2943">
        <f t="shared" si="25"/>
        <v>0</v>
      </c>
      <c r="CL53" s="2943">
        <f t="shared" si="25"/>
        <v>0</v>
      </c>
      <c r="CM53" s="2943">
        <f t="shared" si="25"/>
        <v>0</v>
      </c>
      <c r="CN53" s="2943">
        <f t="shared" si="24"/>
        <v>0</v>
      </c>
      <c r="CO53" s="2943">
        <f t="shared" si="24"/>
        <v>0</v>
      </c>
      <c r="CP53" s="2943">
        <f t="shared" si="24"/>
        <v>0</v>
      </c>
      <c r="CQ53" s="2946">
        <f t="shared" si="24"/>
        <v>0</v>
      </c>
      <c r="CR53" s="2943">
        <f t="shared" si="24"/>
        <v>0</v>
      </c>
      <c r="CS53" s="2943">
        <f t="shared" si="24"/>
        <v>0</v>
      </c>
      <c r="CT53" s="2943">
        <f t="shared" si="9"/>
        <v>0</v>
      </c>
      <c r="CU53" s="2943">
        <f t="shared" si="9"/>
        <v>0</v>
      </c>
      <c r="CV53" s="2943">
        <f t="shared" si="9"/>
        <v>0</v>
      </c>
      <c r="CW53" s="2445"/>
      <c r="CX53" s="1940" t="s">
        <v>3503</v>
      </c>
      <c r="CY53" s="1944" t="s">
        <v>2094</v>
      </c>
      <c r="CZ53" s="1945" t="s">
        <v>2097</v>
      </c>
      <c r="DA53" s="2945">
        <f t="shared" si="11"/>
        <v>0</v>
      </c>
      <c r="DB53" s="2945"/>
      <c r="DC53" s="2945"/>
      <c r="DD53" s="2945"/>
      <c r="DE53" s="2945"/>
      <c r="DF53" s="2945"/>
      <c r="DG53" s="2945"/>
      <c r="DH53" s="2948"/>
      <c r="DI53" s="2945"/>
      <c r="DJ53" s="2945"/>
      <c r="DK53" s="2945"/>
      <c r="DL53" s="2945"/>
      <c r="DM53" s="2945"/>
    </row>
    <row r="54" spans="1:117">
      <c r="B54" s="1914">
        <f t="shared" si="23"/>
        <v>4.2</v>
      </c>
      <c r="C54" s="1959" t="str">
        <f t="shared" si="18"/>
        <v>換気</v>
      </c>
      <c r="D54" s="1938">
        <f>IF(I$48=0,0,G54/I$48)</f>
        <v>0.30157480314960627</v>
      </c>
      <c r="E54" s="1939">
        <f>IF(J$48=0,0,H54/J$48)</f>
        <v>0.375</v>
      </c>
      <c r="G54" s="1939">
        <f t="shared" si="19"/>
        <v>0.30157480314960627</v>
      </c>
      <c r="H54" s="1939">
        <f t="shared" si="20"/>
        <v>5.905511811023622E-3</v>
      </c>
      <c r="I54" s="1939">
        <f>SUM(G55:G58)</f>
        <v>1</v>
      </c>
      <c r="J54" s="1939">
        <f>SUM(H55:H58)</f>
        <v>1.5748031496062992E-2</v>
      </c>
      <c r="K54" s="1939">
        <f>IF(スコア!Q54=0,0,1)</f>
        <v>1</v>
      </c>
      <c r="L54" s="1939">
        <f>IF(スコア!T54=0,0,1)</f>
        <v>1</v>
      </c>
      <c r="M54" s="1939">
        <f t="shared" si="21"/>
        <v>0.30157480314960627</v>
      </c>
      <c r="N54" s="1939">
        <f t="shared" si="22"/>
        <v>5.905511811023622E-3</v>
      </c>
      <c r="P54" s="1940">
        <f t="shared" si="17"/>
        <v>4.2</v>
      </c>
      <c r="Q54" s="1940" t="str">
        <f t="shared" si="17"/>
        <v xml:space="preserve"> Q1 4</v>
      </c>
      <c r="R54" s="1941" t="str">
        <f t="shared" si="17"/>
        <v>換気</v>
      </c>
      <c r="S54" s="1942">
        <f t="shared" si="17"/>
        <v>0.3</v>
      </c>
      <c r="T54" s="1942">
        <f t="shared" si="17"/>
        <v>0.3</v>
      </c>
      <c r="U54" s="1942">
        <f t="shared" si="17"/>
        <v>0.3</v>
      </c>
      <c r="V54" s="1942">
        <f t="shared" si="17"/>
        <v>0.3</v>
      </c>
      <c r="W54" s="1942">
        <f t="shared" si="17"/>
        <v>0.3</v>
      </c>
      <c r="X54" s="1942">
        <f t="shared" si="17"/>
        <v>0.3</v>
      </c>
      <c r="Y54" s="1942">
        <f t="shared" si="17"/>
        <v>0.4</v>
      </c>
      <c r="Z54" s="1951">
        <f t="shared" si="17"/>
        <v>0.3</v>
      </c>
      <c r="AA54" s="1942">
        <f t="shared" si="17"/>
        <v>0.3</v>
      </c>
      <c r="AB54" s="1942">
        <f t="shared" si="8"/>
        <v>0.3</v>
      </c>
      <c r="AC54" s="1943">
        <f t="shared" si="8"/>
        <v>0.375</v>
      </c>
      <c r="AD54" s="1942">
        <f t="shared" si="8"/>
        <v>0.375</v>
      </c>
      <c r="AE54" s="1942">
        <f t="shared" si="8"/>
        <v>0.375</v>
      </c>
      <c r="AG54" s="1940">
        <v>4.2</v>
      </c>
      <c r="AH54" s="1944" t="s">
        <v>2093</v>
      </c>
      <c r="AI54" s="1941" t="s">
        <v>812</v>
      </c>
      <c r="AJ54" s="1982">
        <v>0.3</v>
      </c>
      <c r="AK54" s="1982">
        <v>0.3</v>
      </c>
      <c r="AL54" s="1982">
        <v>0.3</v>
      </c>
      <c r="AM54" s="1982">
        <v>0.3</v>
      </c>
      <c r="AN54" s="1982">
        <v>0.3</v>
      </c>
      <c r="AO54" s="1982">
        <v>0.3</v>
      </c>
      <c r="AP54" s="1982">
        <v>0.4</v>
      </c>
      <c r="AQ54" s="1983">
        <v>0.3</v>
      </c>
      <c r="AR54" s="1982">
        <v>0.3</v>
      </c>
      <c r="AS54" s="1947">
        <v>0.3</v>
      </c>
      <c r="AT54" s="1948">
        <v>0.375</v>
      </c>
      <c r="AU54" s="1947">
        <v>0.375</v>
      </c>
      <c r="AV54" s="1947">
        <v>0.375</v>
      </c>
      <c r="AX54" s="1940">
        <v>4.2</v>
      </c>
      <c r="AY54" s="1944" t="s">
        <v>2093</v>
      </c>
      <c r="AZ54" s="1941" t="s">
        <v>812</v>
      </c>
      <c r="BA54" s="1947">
        <v>0.3</v>
      </c>
      <c r="BB54" s="1947">
        <v>0.3</v>
      </c>
      <c r="BC54" s="1947">
        <v>0.3</v>
      </c>
      <c r="BD54" s="1947">
        <v>0.3</v>
      </c>
      <c r="BE54" s="1947">
        <v>0.3</v>
      </c>
      <c r="BF54" s="1947">
        <v>0.3</v>
      </c>
      <c r="BG54" s="1947">
        <v>0.4</v>
      </c>
      <c r="BH54" s="1954">
        <v>0.3</v>
      </c>
      <c r="BI54" s="1947">
        <v>0.3</v>
      </c>
      <c r="BJ54" s="1947">
        <v>0.3</v>
      </c>
      <c r="BK54" s="1948">
        <v>0.375</v>
      </c>
      <c r="BL54" s="1947">
        <v>0.375</v>
      </c>
      <c r="BM54" s="1947">
        <v>0.375</v>
      </c>
      <c r="BO54" s="1940">
        <v>4.2</v>
      </c>
      <c r="BP54" s="1944" t="s">
        <v>2093</v>
      </c>
      <c r="BQ54" s="1941" t="s">
        <v>3735</v>
      </c>
      <c r="BR54" s="1982">
        <v>0.3</v>
      </c>
      <c r="BS54" s="1982">
        <v>0.3</v>
      </c>
      <c r="BT54" s="1982">
        <v>0.3</v>
      </c>
      <c r="BU54" s="1982">
        <v>0.3</v>
      </c>
      <c r="BV54" s="1982">
        <v>0.3</v>
      </c>
      <c r="BW54" s="1982">
        <v>0.3</v>
      </c>
      <c r="BX54" s="1982">
        <v>0.4</v>
      </c>
      <c r="BY54" s="1983">
        <v>0.3</v>
      </c>
      <c r="BZ54" s="1982">
        <v>0.3</v>
      </c>
      <c r="CA54" s="1982">
        <v>0.3</v>
      </c>
      <c r="CB54" s="1984">
        <v>0.375</v>
      </c>
      <c r="CC54" s="1982">
        <v>0.375</v>
      </c>
      <c r="CD54" s="1982">
        <v>0.375</v>
      </c>
      <c r="CE54" s="2303"/>
      <c r="CG54" s="1940">
        <v>4.2</v>
      </c>
      <c r="CH54" s="1944" t="s">
        <v>2093</v>
      </c>
      <c r="CI54" s="1941" t="s">
        <v>812</v>
      </c>
      <c r="CJ54" s="2943">
        <f t="shared" si="25"/>
        <v>0.3</v>
      </c>
      <c r="CK54" s="2943">
        <f t="shared" si="25"/>
        <v>0.3</v>
      </c>
      <c r="CL54" s="2943">
        <f t="shared" si="25"/>
        <v>0.3</v>
      </c>
      <c r="CM54" s="2943">
        <f t="shared" si="25"/>
        <v>0.3</v>
      </c>
      <c r="CN54" s="2943">
        <f t="shared" si="24"/>
        <v>0.3</v>
      </c>
      <c r="CO54" s="2943">
        <f t="shared" si="24"/>
        <v>0.3</v>
      </c>
      <c r="CP54" s="2943">
        <f t="shared" si="24"/>
        <v>0.4</v>
      </c>
      <c r="CQ54" s="2956">
        <f t="shared" si="24"/>
        <v>0.3</v>
      </c>
      <c r="CR54" s="2943">
        <f t="shared" si="24"/>
        <v>0.3</v>
      </c>
      <c r="CS54" s="2943">
        <f t="shared" si="24"/>
        <v>0.3</v>
      </c>
      <c r="CT54" s="2947">
        <f t="shared" si="9"/>
        <v>0.375</v>
      </c>
      <c r="CU54" s="2943">
        <f t="shared" si="9"/>
        <v>0.375</v>
      </c>
      <c r="CV54" s="2943">
        <f t="shared" si="9"/>
        <v>0.375</v>
      </c>
      <c r="CW54" s="2445"/>
      <c r="CX54" s="1940">
        <v>4.2</v>
      </c>
      <c r="CY54" s="1944" t="s">
        <v>2093</v>
      </c>
      <c r="CZ54" s="1941" t="s">
        <v>812</v>
      </c>
      <c r="DA54" s="2945">
        <f t="shared" si="11"/>
        <v>0.3</v>
      </c>
      <c r="DB54" s="2945"/>
      <c r="DC54" s="2945"/>
      <c r="DD54" s="2945"/>
      <c r="DE54" s="2945"/>
      <c r="DF54" s="2945"/>
      <c r="DG54" s="2945"/>
      <c r="DH54" s="2957"/>
      <c r="DI54" s="2945"/>
      <c r="DJ54" s="2945"/>
      <c r="DK54" s="2949"/>
      <c r="DL54" s="2945"/>
      <c r="DM54" s="2945"/>
    </row>
    <row r="55" spans="1:117">
      <c r="B55" s="1914" t="str">
        <f t="shared" si="23"/>
        <v>4.2.1</v>
      </c>
      <c r="C55" s="1937" t="str">
        <f t="shared" si="18"/>
        <v>換気量</v>
      </c>
      <c r="D55" s="1927">
        <f t="shared" ref="D55:E58" si="27">IF(I$54&gt;0,G55/I$54,0)</f>
        <v>0.33595800524934383</v>
      </c>
      <c r="E55" s="1939">
        <f t="shared" si="27"/>
        <v>0.33333333333333331</v>
      </c>
      <c r="G55" s="1939">
        <f t="shared" si="19"/>
        <v>0.33595800524934383</v>
      </c>
      <c r="H55" s="1939">
        <f t="shared" si="20"/>
        <v>5.2493438320209973E-3</v>
      </c>
      <c r="I55" s="1939"/>
      <c r="J55" s="1939"/>
      <c r="K55" s="1939">
        <f>IF(スコア!Q55=0,0,1)</f>
        <v>1</v>
      </c>
      <c r="L55" s="1939">
        <f>IF(スコア!T55=0,0,1)</f>
        <v>1</v>
      </c>
      <c r="M55" s="1939">
        <f t="shared" si="21"/>
        <v>0.33595800524934383</v>
      </c>
      <c r="N55" s="1939">
        <f t="shared" si="22"/>
        <v>5.2493438320209973E-3</v>
      </c>
      <c r="P55" s="1940" t="str">
        <f t="shared" si="17"/>
        <v>4.2.1</v>
      </c>
      <c r="Q55" s="1940" t="str">
        <f t="shared" si="17"/>
        <v xml:space="preserve"> Q1 4.2</v>
      </c>
      <c r="R55" s="1941" t="str">
        <f t="shared" si="17"/>
        <v>換気量</v>
      </c>
      <c r="S55" s="1942">
        <f t="shared" si="17"/>
        <v>0.33333333333333331</v>
      </c>
      <c r="T55" s="1942">
        <f t="shared" si="17"/>
        <v>0.33333333333333331</v>
      </c>
      <c r="U55" s="1942">
        <f t="shared" si="17"/>
        <v>0.5</v>
      </c>
      <c r="V55" s="1942">
        <f t="shared" si="17"/>
        <v>0.5</v>
      </c>
      <c r="W55" s="1942">
        <f t="shared" si="17"/>
        <v>0.5</v>
      </c>
      <c r="X55" s="1942">
        <f t="shared" si="17"/>
        <v>0.5</v>
      </c>
      <c r="Y55" s="1942">
        <f t="shared" si="17"/>
        <v>0.5</v>
      </c>
      <c r="Z55" s="1951">
        <f t="shared" si="17"/>
        <v>0.33333333333333331</v>
      </c>
      <c r="AA55" s="1942">
        <f t="shared" si="17"/>
        <v>0.33333333333333331</v>
      </c>
      <c r="AB55" s="1942">
        <f t="shared" si="8"/>
        <v>0.33333333333333331</v>
      </c>
      <c r="AC55" s="1943">
        <f t="shared" si="8"/>
        <v>0.33333333333333331</v>
      </c>
      <c r="AD55" s="1942">
        <f t="shared" si="8"/>
        <v>0.33333333333333331</v>
      </c>
      <c r="AE55" s="1942">
        <f t="shared" si="8"/>
        <v>0.33333333333333331</v>
      </c>
      <c r="AG55" s="1940" t="s">
        <v>2229</v>
      </c>
      <c r="AH55" s="1944" t="s">
        <v>2098</v>
      </c>
      <c r="AI55" s="1945" t="s">
        <v>2099</v>
      </c>
      <c r="AJ55" s="1982">
        <v>0.25</v>
      </c>
      <c r="AK55" s="1982">
        <v>0.25</v>
      </c>
      <c r="AL55" s="1985">
        <v>0.33333333333333331</v>
      </c>
      <c r="AM55" s="1985">
        <v>0.33333333333333331</v>
      </c>
      <c r="AN55" s="1985">
        <v>0.33333333333333331</v>
      </c>
      <c r="AO55" s="1985">
        <v>0.33333333333333331</v>
      </c>
      <c r="AP55" s="1982"/>
      <c r="AQ55" s="1985">
        <v>0.33333333333333331</v>
      </c>
      <c r="AR55" s="1982">
        <v>0.25</v>
      </c>
      <c r="AS55" s="1947">
        <v>0.25</v>
      </c>
      <c r="AT55" s="1948">
        <v>0.25</v>
      </c>
      <c r="AU55" s="1947">
        <v>0.25</v>
      </c>
      <c r="AV55" s="1947"/>
      <c r="AX55" s="1940" t="s">
        <v>2229</v>
      </c>
      <c r="AY55" s="1944" t="s">
        <v>2098</v>
      </c>
      <c r="AZ55" s="1945" t="s">
        <v>2099</v>
      </c>
      <c r="BA55" s="1947">
        <v>0.33333333333333331</v>
      </c>
      <c r="BB55" s="1947">
        <v>0.33333333333333331</v>
      </c>
      <c r="BC55" s="1947">
        <v>0.5</v>
      </c>
      <c r="BD55" s="1947">
        <v>0.5</v>
      </c>
      <c r="BE55" s="1947">
        <v>0.5</v>
      </c>
      <c r="BF55" s="1947">
        <v>0.5</v>
      </c>
      <c r="BG55" s="1947">
        <v>0.5</v>
      </c>
      <c r="BH55" s="1954">
        <v>0.5</v>
      </c>
      <c r="BI55" s="1947">
        <v>0.33333333333333331</v>
      </c>
      <c r="BJ55" s="1947">
        <v>0.33333333333333331</v>
      </c>
      <c r="BK55" s="1948">
        <v>0.33333333333333331</v>
      </c>
      <c r="BL55" s="1947">
        <v>0.33333333333333331</v>
      </c>
      <c r="BM55" s="1947">
        <v>0.33333333333333331</v>
      </c>
      <c r="BO55" s="1940" t="s">
        <v>3686</v>
      </c>
      <c r="BP55" s="1944" t="s">
        <v>2098</v>
      </c>
      <c r="BQ55" s="1945" t="s">
        <v>2099</v>
      </c>
      <c r="BR55" s="1982">
        <f>0.25/(0.25+0.25+0.25)</f>
        <v>0.33333333333333331</v>
      </c>
      <c r="BS55" s="1982">
        <f t="shared" ref="BS55:BS57" si="28">0.25/(0.25+0.25+0.25)</f>
        <v>0.33333333333333331</v>
      </c>
      <c r="BT55" s="1982">
        <f>0.33/(0.33+0.33)</f>
        <v>0.5</v>
      </c>
      <c r="BU55" s="1982">
        <f>0.33/(0.33+0.33)</f>
        <v>0.5</v>
      </c>
      <c r="BV55" s="1982">
        <f>0.33/(0.33+0.33)</f>
        <v>0.5</v>
      </c>
      <c r="BW55" s="1982">
        <f>0.33/(0.33+0.33)</f>
        <v>0.5</v>
      </c>
      <c r="BX55" s="1982">
        <v>0.5</v>
      </c>
      <c r="BY55" s="1982">
        <f t="shared" ref="BY55:CD57" si="29">0.25/(0.25+0.25+0.25)</f>
        <v>0.33333333333333331</v>
      </c>
      <c r="BZ55" s="1982">
        <f t="shared" si="29"/>
        <v>0.33333333333333331</v>
      </c>
      <c r="CA55" s="1982">
        <f t="shared" si="29"/>
        <v>0.33333333333333331</v>
      </c>
      <c r="CB55" s="1984">
        <f t="shared" si="29"/>
        <v>0.33333333333333331</v>
      </c>
      <c r="CC55" s="1982">
        <f t="shared" si="29"/>
        <v>0.33333333333333331</v>
      </c>
      <c r="CD55" s="1982">
        <f t="shared" si="29"/>
        <v>0.33333333333333331</v>
      </c>
      <c r="CE55" s="2303"/>
      <c r="CG55" s="1940" t="s">
        <v>3504</v>
      </c>
      <c r="CH55" s="1944" t="s">
        <v>2098</v>
      </c>
      <c r="CI55" s="1945" t="s">
        <v>2099</v>
      </c>
      <c r="CJ55" s="2943">
        <f t="shared" si="25"/>
        <v>0.33333333333333331</v>
      </c>
      <c r="CK55" s="2943">
        <f t="shared" si="25"/>
        <v>0.33333333333333331</v>
      </c>
      <c r="CL55" s="2943">
        <f t="shared" si="25"/>
        <v>0.5</v>
      </c>
      <c r="CM55" s="2943">
        <f t="shared" si="25"/>
        <v>0.5</v>
      </c>
      <c r="CN55" s="2943">
        <f t="shared" si="24"/>
        <v>0.5</v>
      </c>
      <c r="CO55" s="2943">
        <f t="shared" si="24"/>
        <v>0.5</v>
      </c>
      <c r="CP55" s="2943">
        <f t="shared" si="24"/>
        <v>0.5</v>
      </c>
      <c r="CQ55" s="2946">
        <f t="shared" si="24"/>
        <v>0.33333333333333331</v>
      </c>
      <c r="CR55" s="2943">
        <f t="shared" si="24"/>
        <v>0.33333333333333331</v>
      </c>
      <c r="CS55" s="2943">
        <f t="shared" si="24"/>
        <v>0.33333333333333331</v>
      </c>
      <c r="CT55" s="2947">
        <f t="shared" si="9"/>
        <v>0.33333333333333331</v>
      </c>
      <c r="CU55" s="2943">
        <f t="shared" si="9"/>
        <v>0.33333333333333331</v>
      </c>
      <c r="CV55" s="2943">
        <f t="shared" si="9"/>
        <v>0.33333333333333331</v>
      </c>
      <c r="CW55" s="2445"/>
      <c r="CX55" s="1940" t="s">
        <v>3504</v>
      </c>
      <c r="CY55" s="1944" t="s">
        <v>2098</v>
      </c>
      <c r="CZ55" s="1945" t="s">
        <v>2099</v>
      </c>
      <c r="DA55" s="2945">
        <f t="shared" si="11"/>
        <v>0.33333333333333331</v>
      </c>
      <c r="DB55" s="2945"/>
      <c r="DC55" s="2945"/>
      <c r="DD55" s="2945"/>
      <c r="DE55" s="2945"/>
      <c r="DF55" s="2945"/>
      <c r="DG55" s="2945"/>
      <c r="DH55" s="2948"/>
      <c r="DI55" s="2945"/>
      <c r="DJ55" s="2945"/>
      <c r="DK55" s="2949"/>
      <c r="DL55" s="2945"/>
      <c r="DM55" s="2945"/>
    </row>
    <row r="56" spans="1:117">
      <c r="B56" s="1914" t="str">
        <f t="shared" si="23"/>
        <v>4.2.2</v>
      </c>
      <c r="C56" s="1937" t="str">
        <f t="shared" si="18"/>
        <v>自然換気性能</v>
      </c>
      <c r="D56" s="1927">
        <f t="shared" si="27"/>
        <v>0.32808398950131235</v>
      </c>
      <c r="E56" s="1939">
        <f t="shared" si="27"/>
        <v>0.33333333333333331</v>
      </c>
      <c r="G56" s="1939">
        <f t="shared" si="19"/>
        <v>0.32808398950131235</v>
      </c>
      <c r="H56" s="1939">
        <f t="shared" si="20"/>
        <v>5.2493438320209973E-3</v>
      </c>
      <c r="I56" s="1939"/>
      <c r="J56" s="1939"/>
      <c r="K56" s="1939">
        <f>IF(スコア!Q56=0,0,1)</f>
        <v>1</v>
      </c>
      <c r="L56" s="1939">
        <f>IF(スコア!T56=0,0,1)</f>
        <v>1</v>
      </c>
      <c r="M56" s="1939">
        <f t="shared" si="21"/>
        <v>0.32808398950131235</v>
      </c>
      <c r="N56" s="1939">
        <f t="shared" si="22"/>
        <v>5.2493438320209973E-3</v>
      </c>
      <c r="P56" s="1940" t="str">
        <f t="shared" si="17"/>
        <v>4.2.2</v>
      </c>
      <c r="Q56" s="1940" t="str">
        <f t="shared" si="17"/>
        <v xml:space="preserve"> Q1 4.2</v>
      </c>
      <c r="R56" s="1941" t="str">
        <f t="shared" si="17"/>
        <v>自然換気性能</v>
      </c>
      <c r="S56" s="1942">
        <f t="shared" si="17"/>
        <v>0.33333333333333331</v>
      </c>
      <c r="T56" s="1942">
        <f t="shared" si="17"/>
        <v>0.33333333333333331</v>
      </c>
      <c r="U56" s="1942">
        <f t="shared" si="17"/>
        <v>0</v>
      </c>
      <c r="V56" s="1942">
        <f t="shared" si="17"/>
        <v>0</v>
      </c>
      <c r="W56" s="1942">
        <f t="shared" si="17"/>
        <v>0</v>
      </c>
      <c r="X56" s="1942">
        <f t="shared" si="17"/>
        <v>0</v>
      </c>
      <c r="Y56" s="1942">
        <f t="shared" si="17"/>
        <v>0</v>
      </c>
      <c r="Z56" s="1951">
        <f t="shared" si="17"/>
        <v>0.33333333333333331</v>
      </c>
      <c r="AA56" s="1942">
        <f t="shared" si="17"/>
        <v>0.33333333333333331</v>
      </c>
      <c r="AB56" s="1942">
        <f t="shared" si="8"/>
        <v>0.33333333333333331</v>
      </c>
      <c r="AC56" s="1943">
        <f t="shared" si="8"/>
        <v>0.33333333333333331</v>
      </c>
      <c r="AD56" s="1942">
        <f t="shared" si="8"/>
        <v>0.33333333333333331</v>
      </c>
      <c r="AE56" s="1942">
        <f t="shared" si="8"/>
        <v>0.33333333333333331</v>
      </c>
      <c r="AG56" s="1940" t="s">
        <v>2230</v>
      </c>
      <c r="AH56" s="1944" t="s">
        <v>2098</v>
      </c>
      <c r="AI56" s="1945" t="s">
        <v>2100</v>
      </c>
      <c r="AJ56" s="1982">
        <v>0.25</v>
      </c>
      <c r="AK56" s="1982">
        <v>0.25</v>
      </c>
      <c r="AL56" s="1982"/>
      <c r="AM56" s="1982"/>
      <c r="AN56" s="1982"/>
      <c r="AO56" s="1982"/>
      <c r="AP56" s="1982"/>
      <c r="AQ56" s="1983"/>
      <c r="AR56" s="1982">
        <v>0.25</v>
      </c>
      <c r="AS56" s="1947">
        <v>0.25</v>
      </c>
      <c r="AT56" s="1948">
        <v>0.25</v>
      </c>
      <c r="AU56" s="1947">
        <v>0.25</v>
      </c>
      <c r="AV56" s="1947">
        <v>0.33</v>
      </c>
      <c r="AX56" s="1940" t="s">
        <v>2230</v>
      </c>
      <c r="AY56" s="1944" t="s">
        <v>2098</v>
      </c>
      <c r="AZ56" s="1945" t="s">
        <v>2100</v>
      </c>
      <c r="BA56" s="1947">
        <v>0.33333333333333331</v>
      </c>
      <c r="BB56" s="1947">
        <v>0.33333333333333331</v>
      </c>
      <c r="BC56" s="1947"/>
      <c r="BD56" s="1947"/>
      <c r="BE56" s="1947"/>
      <c r="BF56" s="1947"/>
      <c r="BG56" s="1947"/>
      <c r="BH56" s="1954"/>
      <c r="BI56" s="1947">
        <v>0.33333333333333331</v>
      </c>
      <c r="BJ56" s="1947">
        <v>0.33333333333333331</v>
      </c>
      <c r="BK56" s="1948">
        <v>0.33333333333333331</v>
      </c>
      <c r="BL56" s="1947">
        <v>0.33333333333333331</v>
      </c>
      <c r="BM56" s="1947">
        <v>0.33333333333333331</v>
      </c>
      <c r="BO56" s="1940" t="s">
        <v>3687</v>
      </c>
      <c r="BP56" s="1944" t="s">
        <v>2098</v>
      </c>
      <c r="BQ56" s="1945" t="s">
        <v>2100</v>
      </c>
      <c r="BR56" s="1982">
        <f t="shared" ref="BR56:BR57" si="30">0.25/(0.25+0.25+0.25)</f>
        <v>0.33333333333333331</v>
      </c>
      <c r="BS56" s="1982">
        <f t="shared" si="28"/>
        <v>0.33333333333333331</v>
      </c>
      <c r="BT56" s="1982"/>
      <c r="BU56" s="1982"/>
      <c r="BV56" s="1982"/>
      <c r="BW56" s="1982"/>
      <c r="BX56" s="1982"/>
      <c r="BY56" s="1983">
        <f t="shared" si="29"/>
        <v>0.33333333333333331</v>
      </c>
      <c r="BZ56" s="1982">
        <f t="shared" si="29"/>
        <v>0.33333333333333331</v>
      </c>
      <c r="CA56" s="1982">
        <f t="shared" si="29"/>
        <v>0.33333333333333331</v>
      </c>
      <c r="CB56" s="1984">
        <f t="shared" si="29"/>
        <v>0.33333333333333331</v>
      </c>
      <c r="CC56" s="1982">
        <f t="shared" si="29"/>
        <v>0.33333333333333331</v>
      </c>
      <c r="CD56" s="1982">
        <f t="shared" si="29"/>
        <v>0.33333333333333331</v>
      </c>
      <c r="CE56" s="2303"/>
      <c r="CG56" s="1940" t="s">
        <v>3505</v>
      </c>
      <c r="CH56" s="1944" t="s">
        <v>2098</v>
      </c>
      <c r="CI56" s="1945" t="s">
        <v>2100</v>
      </c>
      <c r="CJ56" s="2943">
        <f t="shared" si="25"/>
        <v>0.33333333333333331</v>
      </c>
      <c r="CK56" s="2943">
        <f t="shared" si="25"/>
        <v>0.33333333333333331</v>
      </c>
      <c r="CL56" s="2943">
        <f t="shared" si="25"/>
        <v>0</v>
      </c>
      <c r="CM56" s="2943">
        <f t="shared" si="25"/>
        <v>0</v>
      </c>
      <c r="CN56" s="2943">
        <f t="shared" si="24"/>
        <v>0</v>
      </c>
      <c r="CO56" s="2943">
        <f t="shared" si="24"/>
        <v>0</v>
      </c>
      <c r="CP56" s="2943">
        <f t="shared" si="24"/>
        <v>0</v>
      </c>
      <c r="CQ56" s="2956">
        <f t="shared" si="24"/>
        <v>0.33333333333333331</v>
      </c>
      <c r="CR56" s="2943">
        <f t="shared" si="24"/>
        <v>0.33333333333333331</v>
      </c>
      <c r="CS56" s="2943">
        <f t="shared" si="24"/>
        <v>0.33333333333333331</v>
      </c>
      <c r="CT56" s="2947">
        <f t="shared" si="9"/>
        <v>0.33333333333333331</v>
      </c>
      <c r="CU56" s="2943">
        <f t="shared" si="9"/>
        <v>0.33333333333333331</v>
      </c>
      <c r="CV56" s="2943">
        <f t="shared" si="9"/>
        <v>0.33333333333333331</v>
      </c>
      <c r="CW56" s="2445"/>
      <c r="CX56" s="1940" t="s">
        <v>3505</v>
      </c>
      <c r="CY56" s="1944" t="s">
        <v>2098</v>
      </c>
      <c r="CZ56" s="1945" t="s">
        <v>2100</v>
      </c>
      <c r="DA56" s="2945">
        <f t="shared" si="11"/>
        <v>0.33333333333333331</v>
      </c>
      <c r="DB56" s="2945"/>
      <c r="DC56" s="2945"/>
      <c r="DD56" s="2945"/>
      <c r="DE56" s="2945"/>
      <c r="DF56" s="2945"/>
      <c r="DG56" s="2945"/>
      <c r="DH56" s="2957"/>
      <c r="DI56" s="2945"/>
      <c r="DJ56" s="2945"/>
      <c r="DK56" s="2949"/>
      <c r="DL56" s="2945"/>
      <c r="DM56" s="2945"/>
    </row>
    <row r="57" spans="1:117">
      <c r="B57" s="1914" t="str">
        <f t="shared" si="23"/>
        <v>4.2.3</v>
      </c>
      <c r="C57" s="1937" t="str">
        <f t="shared" si="18"/>
        <v>取り入れ外気への配慮</v>
      </c>
      <c r="D57" s="1927">
        <f t="shared" si="27"/>
        <v>0.33595800524934383</v>
      </c>
      <c r="E57" s="1939">
        <f t="shared" si="27"/>
        <v>0.33333333333333331</v>
      </c>
      <c r="G57" s="1939">
        <f t="shared" si="19"/>
        <v>0.33595800524934383</v>
      </c>
      <c r="H57" s="1939">
        <f t="shared" si="20"/>
        <v>5.2493438320209973E-3</v>
      </c>
      <c r="I57" s="1939"/>
      <c r="J57" s="1939"/>
      <c r="K57" s="1939">
        <f>IF(スコア!Q57=0,0,1)</f>
        <v>1</v>
      </c>
      <c r="L57" s="1939">
        <f>IF(スコア!T57=0,0,1)</f>
        <v>1</v>
      </c>
      <c r="M57" s="1939">
        <f t="shared" si="21"/>
        <v>0.33595800524934383</v>
      </c>
      <c r="N57" s="1939">
        <f t="shared" si="22"/>
        <v>5.2493438320209973E-3</v>
      </c>
      <c r="P57" s="1940" t="str">
        <f t="shared" si="17"/>
        <v>4.2.3</v>
      </c>
      <c r="Q57" s="1940" t="str">
        <f t="shared" si="17"/>
        <v xml:space="preserve"> Q1 4.2</v>
      </c>
      <c r="R57" s="1941" t="str">
        <f t="shared" si="17"/>
        <v>取り入れ外気への配慮</v>
      </c>
      <c r="S57" s="1942">
        <f t="shared" si="17"/>
        <v>0.33333333333333331</v>
      </c>
      <c r="T57" s="1942">
        <f t="shared" si="17"/>
        <v>0.33333333333333331</v>
      </c>
      <c r="U57" s="1942">
        <f t="shared" si="17"/>
        <v>0.5</v>
      </c>
      <c r="V57" s="1942">
        <f t="shared" si="17"/>
        <v>0.5</v>
      </c>
      <c r="W57" s="1942">
        <f t="shared" si="17"/>
        <v>0.5</v>
      </c>
      <c r="X57" s="1942">
        <f t="shared" si="17"/>
        <v>0.5</v>
      </c>
      <c r="Y57" s="1942">
        <f t="shared" si="17"/>
        <v>0.5</v>
      </c>
      <c r="Z57" s="1951">
        <f t="shared" si="17"/>
        <v>0.33333333333333331</v>
      </c>
      <c r="AA57" s="1942">
        <f t="shared" si="17"/>
        <v>0.33333333333333331</v>
      </c>
      <c r="AB57" s="1942">
        <f t="shared" si="8"/>
        <v>0.33333333333333331</v>
      </c>
      <c r="AC57" s="1943">
        <f t="shared" si="8"/>
        <v>0.33333333333333331</v>
      </c>
      <c r="AD57" s="1942">
        <f t="shared" si="8"/>
        <v>0.33333333333333331</v>
      </c>
      <c r="AE57" s="1942">
        <f t="shared" si="8"/>
        <v>0.33333333333333331</v>
      </c>
      <c r="AG57" s="1940" t="s">
        <v>2231</v>
      </c>
      <c r="AH57" s="1944" t="s">
        <v>2098</v>
      </c>
      <c r="AI57" s="1945" t="s">
        <v>2101</v>
      </c>
      <c r="AJ57" s="1982">
        <v>0.25</v>
      </c>
      <c r="AK57" s="1982">
        <v>0.25</v>
      </c>
      <c r="AL57" s="1985">
        <v>0.33333333333333331</v>
      </c>
      <c r="AM57" s="1985">
        <v>0.33333333333333331</v>
      </c>
      <c r="AN57" s="1985">
        <v>0.33333333333333331</v>
      </c>
      <c r="AO57" s="1985">
        <v>0.33333333333333331</v>
      </c>
      <c r="AP57" s="1982">
        <v>1</v>
      </c>
      <c r="AQ57" s="1985">
        <v>0.33333333333333331</v>
      </c>
      <c r="AR57" s="1982">
        <v>0.25</v>
      </c>
      <c r="AS57" s="1947">
        <v>0.25</v>
      </c>
      <c r="AT57" s="1948">
        <v>0.25</v>
      </c>
      <c r="AU57" s="1947">
        <v>0.25</v>
      </c>
      <c r="AV57" s="1947">
        <v>0.33</v>
      </c>
      <c r="AX57" s="1940" t="s">
        <v>2231</v>
      </c>
      <c r="AY57" s="1944" t="s">
        <v>2098</v>
      </c>
      <c r="AZ57" s="1945" t="s">
        <v>2101</v>
      </c>
      <c r="BA57" s="1947">
        <v>0.33333333333333331</v>
      </c>
      <c r="BB57" s="1947">
        <v>0.33333333333333331</v>
      </c>
      <c r="BC57" s="1947">
        <v>0.5</v>
      </c>
      <c r="BD57" s="1947">
        <v>0.5</v>
      </c>
      <c r="BE57" s="1947">
        <v>0.5</v>
      </c>
      <c r="BF57" s="1947">
        <v>0.5</v>
      </c>
      <c r="BG57" s="1947">
        <v>0.5</v>
      </c>
      <c r="BH57" s="1954">
        <v>0.5</v>
      </c>
      <c r="BI57" s="1947">
        <v>0.33333333333333331</v>
      </c>
      <c r="BJ57" s="1947">
        <v>0.33333333333333331</v>
      </c>
      <c r="BK57" s="1948">
        <v>0.33333333333333331</v>
      </c>
      <c r="BL57" s="1947">
        <v>0.33333333333333331</v>
      </c>
      <c r="BM57" s="1947">
        <v>0.33333333333333331</v>
      </c>
      <c r="BO57" s="1940" t="s">
        <v>3688</v>
      </c>
      <c r="BP57" s="1944" t="s">
        <v>2098</v>
      </c>
      <c r="BQ57" s="1945" t="s">
        <v>2101</v>
      </c>
      <c r="BR57" s="1982">
        <f t="shared" si="30"/>
        <v>0.33333333333333331</v>
      </c>
      <c r="BS57" s="1982">
        <f t="shared" si="28"/>
        <v>0.33333333333333331</v>
      </c>
      <c r="BT57" s="1982">
        <f>0.33/(0.33+0.33)</f>
        <v>0.5</v>
      </c>
      <c r="BU57" s="1982">
        <f>0.33/(0.33+0.33)</f>
        <v>0.5</v>
      </c>
      <c r="BV57" s="1982">
        <f>0.33/(0.33+0.33)</f>
        <v>0.5</v>
      </c>
      <c r="BW57" s="1982">
        <f>0.33/(0.33+0.33)</f>
        <v>0.5</v>
      </c>
      <c r="BX57" s="1982">
        <v>0.5</v>
      </c>
      <c r="BY57" s="1982">
        <f t="shared" si="29"/>
        <v>0.33333333333333331</v>
      </c>
      <c r="BZ57" s="1982">
        <f t="shared" si="29"/>
        <v>0.33333333333333331</v>
      </c>
      <c r="CA57" s="1982">
        <f t="shared" si="29"/>
        <v>0.33333333333333331</v>
      </c>
      <c r="CB57" s="1984">
        <f t="shared" si="29"/>
        <v>0.33333333333333331</v>
      </c>
      <c r="CC57" s="1982">
        <f t="shared" si="29"/>
        <v>0.33333333333333331</v>
      </c>
      <c r="CD57" s="1982">
        <f t="shared" si="29"/>
        <v>0.33333333333333331</v>
      </c>
      <c r="CE57" s="2303"/>
      <c r="CG57" s="1940" t="s">
        <v>3506</v>
      </c>
      <c r="CH57" s="1944" t="s">
        <v>2098</v>
      </c>
      <c r="CI57" s="1945" t="s">
        <v>2101</v>
      </c>
      <c r="CJ57" s="2943">
        <f t="shared" si="25"/>
        <v>0.33333333333333331</v>
      </c>
      <c r="CK57" s="2943">
        <f t="shared" si="25"/>
        <v>0.33333333333333331</v>
      </c>
      <c r="CL57" s="2943">
        <f t="shared" si="25"/>
        <v>0.5</v>
      </c>
      <c r="CM57" s="2943">
        <f t="shared" si="25"/>
        <v>0.5</v>
      </c>
      <c r="CN57" s="2943">
        <f t="shared" si="24"/>
        <v>0.5</v>
      </c>
      <c r="CO57" s="2943">
        <f t="shared" si="24"/>
        <v>0.5</v>
      </c>
      <c r="CP57" s="2943">
        <f t="shared" si="24"/>
        <v>0.5</v>
      </c>
      <c r="CQ57" s="2946">
        <f t="shared" si="24"/>
        <v>0.33333333333333331</v>
      </c>
      <c r="CR57" s="2943">
        <f t="shared" si="24"/>
        <v>0.33333333333333331</v>
      </c>
      <c r="CS57" s="2943">
        <f t="shared" si="24"/>
        <v>0.33333333333333331</v>
      </c>
      <c r="CT57" s="2947">
        <f t="shared" si="9"/>
        <v>0.33333333333333331</v>
      </c>
      <c r="CU57" s="2943">
        <f t="shared" si="9"/>
        <v>0.33333333333333331</v>
      </c>
      <c r="CV57" s="2943">
        <f t="shared" si="9"/>
        <v>0.33333333333333331</v>
      </c>
      <c r="CW57" s="2445"/>
      <c r="CX57" s="1940" t="s">
        <v>3506</v>
      </c>
      <c r="CY57" s="1944" t="s">
        <v>2098</v>
      </c>
      <c r="CZ57" s="1945" t="s">
        <v>2101</v>
      </c>
      <c r="DA57" s="2945">
        <f t="shared" si="11"/>
        <v>0.33333333333333331</v>
      </c>
      <c r="DB57" s="2945"/>
      <c r="DC57" s="2945"/>
      <c r="DD57" s="2945"/>
      <c r="DE57" s="2945"/>
      <c r="DF57" s="2945"/>
      <c r="DG57" s="2945"/>
      <c r="DH57" s="2948"/>
      <c r="DI57" s="2945"/>
      <c r="DJ57" s="2945"/>
      <c r="DK57" s="2949"/>
      <c r="DL57" s="2945"/>
      <c r="DM57" s="2945"/>
    </row>
    <row r="58" spans="1:117" hidden="1">
      <c r="B58" s="1914" t="str">
        <f t="shared" si="23"/>
        <v>4.2.4</v>
      </c>
      <c r="C58" s="1937">
        <f t="shared" si="18"/>
        <v>0</v>
      </c>
      <c r="D58" s="1927">
        <f t="shared" si="27"/>
        <v>0</v>
      </c>
      <c r="E58" s="1939">
        <f t="shared" si="27"/>
        <v>0</v>
      </c>
      <c r="G58" s="1939">
        <f t="shared" si="19"/>
        <v>0</v>
      </c>
      <c r="H58" s="1939">
        <f t="shared" si="20"/>
        <v>0</v>
      </c>
      <c r="I58" s="1939"/>
      <c r="J58" s="1939"/>
      <c r="K58" s="1939">
        <f>IF(スコア!Q58=0,0,1)</f>
        <v>0</v>
      </c>
      <c r="L58" s="1939">
        <f>IF(スコア!T58=0,0,1)</f>
        <v>0</v>
      </c>
      <c r="M58" s="1939">
        <f t="shared" si="21"/>
        <v>0</v>
      </c>
      <c r="N58" s="1939">
        <f t="shared" si="22"/>
        <v>0</v>
      </c>
      <c r="P58" s="1940" t="str">
        <f t="shared" si="17"/>
        <v>4.2.4</v>
      </c>
      <c r="Q58" s="1940" t="str">
        <f t="shared" si="17"/>
        <v xml:space="preserve"> Q1 4.2</v>
      </c>
      <c r="R58" s="1941">
        <f t="shared" si="17"/>
        <v>0</v>
      </c>
      <c r="S58" s="1942">
        <f t="shared" si="17"/>
        <v>0</v>
      </c>
      <c r="T58" s="1942">
        <f t="shared" si="17"/>
        <v>0</v>
      </c>
      <c r="U58" s="1942">
        <f t="shared" si="17"/>
        <v>0</v>
      </c>
      <c r="V58" s="1942">
        <f t="shared" si="17"/>
        <v>0</v>
      </c>
      <c r="W58" s="1942">
        <f t="shared" si="17"/>
        <v>0</v>
      </c>
      <c r="X58" s="1942">
        <f t="shared" si="17"/>
        <v>0</v>
      </c>
      <c r="Y58" s="1942">
        <f t="shared" si="17"/>
        <v>0</v>
      </c>
      <c r="Z58" s="1951">
        <f t="shared" si="17"/>
        <v>0</v>
      </c>
      <c r="AA58" s="1942">
        <f t="shared" si="17"/>
        <v>0</v>
      </c>
      <c r="AB58" s="1942">
        <f t="shared" si="8"/>
        <v>0</v>
      </c>
      <c r="AC58" s="1943">
        <f t="shared" si="8"/>
        <v>0</v>
      </c>
      <c r="AD58" s="1942">
        <f t="shared" si="8"/>
        <v>0</v>
      </c>
      <c r="AE58" s="1942">
        <f t="shared" si="8"/>
        <v>0</v>
      </c>
      <c r="AG58" s="1940" t="s">
        <v>2232</v>
      </c>
      <c r="AH58" s="1944" t="s">
        <v>2098</v>
      </c>
      <c r="AI58" s="1945" t="s">
        <v>2233</v>
      </c>
      <c r="AJ58" s="1977">
        <v>0.25</v>
      </c>
      <c r="AK58" s="1977">
        <v>0.25</v>
      </c>
      <c r="AL58" s="1986">
        <v>0.33333333333333331</v>
      </c>
      <c r="AM58" s="1986">
        <v>0.33333333333333331</v>
      </c>
      <c r="AN58" s="1986">
        <v>0.33333333333333331</v>
      </c>
      <c r="AO58" s="1986">
        <v>0.33333333333333331</v>
      </c>
      <c r="AP58" s="1977"/>
      <c r="AQ58" s="1986">
        <v>0.33333333333333331</v>
      </c>
      <c r="AR58" s="1977">
        <v>0.25</v>
      </c>
      <c r="AS58" s="1947">
        <v>0.25</v>
      </c>
      <c r="AT58" s="1948">
        <v>0.25</v>
      </c>
      <c r="AU58" s="1947">
        <v>0.25</v>
      </c>
      <c r="AV58" s="1947">
        <v>0.33</v>
      </c>
      <c r="AX58" s="1940" t="s">
        <v>2232</v>
      </c>
      <c r="AY58" s="1944" t="s">
        <v>2098</v>
      </c>
      <c r="AZ58" s="1945" t="s">
        <v>2233</v>
      </c>
      <c r="BA58" s="1947"/>
      <c r="BB58" s="1947"/>
      <c r="BC58" s="1947"/>
      <c r="BD58" s="1947"/>
      <c r="BE58" s="1947"/>
      <c r="BF58" s="1947"/>
      <c r="BG58" s="1947"/>
      <c r="BH58" s="1954"/>
      <c r="BI58" s="1947"/>
      <c r="BJ58" s="1947"/>
      <c r="BK58" s="1948"/>
      <c r="BL58" s="1947"/>
      <c r="BM58" s="1947"/>
      <c r="BO58" s="1940" t="s">
        <v>3689</v>
      </c>
      <c r="BP58" s="1944" t="s">
        <v>2098</v>
      </c>
      <c r="BQ58" s="1945"/>
      <c r="BR58" s="1982"/>
      <c r="BS58" s="1982"/>
      <c r="BT58" s="1982"/>
      <c r="BU58" s="1982"/>
      <c r="BV58" s="1982"/>
      <c r="BW58" s="1982"/>
      <c r="BX58" s="1982"/>
      <c r="BY58" s="1982"/>
      <c r="BZ58" s="1982"/>
      <c r="CA58" s="1982"/>
      <c r="CB58" s="1984"/>
      <c r="CC58" s="1982"/>
      <c r="CD58" s="1982"/>
      <c r="CE58" s="2303"/>
      <c r="CG58" s="1968" t="s">
        <v>3507</v>
      </c>
      <c r="CH58" s="1972" t="s">
        <v>2098</v>
      </c>
      <c r="CI58" s="1973"/>
      <c r="CJ58" s="2958"/>
      <c r="CK58" s="2958"/>
      <c r="CL58" s="2958"/>
      <c r="CM58" s="2958"/>
      <c r="CN58" s="2958"/>
      <c r="CO58" s="2958"/>
      <c r="CP58" s="2958"/>
      <c r="CQ58" s="2958"/>
      <c r="CR58" s="2958"/>
      <c r="CS58" s="2958"/>
      <c r="CT58" s="2960"/>
      <c r="CU58" s="2958"/>
      <c r="CV58" s="2958"/>
      <c r="CW58" s="2445"/>
      <c r="CX58" s="1968"/>
      <c r="CY58" s="1972"/>
      <c r="CZ58" s="1973"/>
      <c r="DA58" s="2961"/>
      <c r="DB58" s="2961"/>
      <c r="DC58" s="2961"/>
      <c r="DD58" s="2961"/>
      <c r="DE58" s="2961"/>
      <c r="DF58" s="2961"/>
      <c r="DG58" s="2961"/>
      <c r="DH58" s="2961"/>
      <c r="DI58" s="2961"/>
      <c r="DJ58" s="2961"/>
      <c r="DK58" s="2963"/>
      <c r="DL58" s="2961"/>
      <c r="DM58" s="2961"/>
    </row>
    <row r="59" spans="1:117">
      <c r="B59" s="1914">
        <f t="shared" si="23"/>
        <v>4.3</v>
      </c>
      <c r="C59" s="1959" t="str">
        <f t="shared" si="18"/>
        <v>運用管理</v>
      </c>
      <c r="D59" s="1938">
        <f>IF(I$48=0,0,G59/I$48)</f>
        <v>0.19685039370078741</v>
      </c>
      <c r="E59" s="1939">
        <f>IF(J$48=0,0,H59/J$48)</f>
        <v>0</v>
      </c>
      <c r="G59" s="1939">
        <f t="shared" si="19"/>
        <v>0.19685039370078741</v>
      </c>
      <c r="H59" s="1939">
        <f t="shared" si="20"/>
        <v>0</v>
      </c>
      <c r="I59" s="1939">
        <f>G60+G61</f>
        <v>0.98425196850393704</v>
      </c>
      <c r="J59" s="1939">
        <f>H60+H61</f>
        <v>0</v>
      </c>
      <c r="K59" s="1939">
        <f>IF(スコア!Q59=0,0,1)</f>
        <v>1</v>
      </c>
      <c r="L59" s="1939">
        <f>IF(スコア!T59=0,0,1)</f>
        <v>0</v>
      </c>
      <c r="M59" s="1939">
        <f t="shared" si="21"/>
        <v>0.19685039370078741</v>
      </c>
      <c r="N59" s="1939">
        <f t="shared" si="22"/>
        <v>0</v>
      </c>
      <c r="P59" s="1940">
        <f t="shared" si="17"/>
        <v>4.3</v>
      </c>
      <c r="Q59" s="1940" t="str">
        <f t="shared" si="17"/>
        <v xml:space="preserve"> Q1 4</v>
      </c>
      <c r="R59" s="1941" t="str">
        <f t="shared" si="17"/>
        <v>運用管理</v>
      </c>
      <c r="S59" s="1942">
        <f t="shared" si="17"/>
        <v>0.2</v>
      </c>
      <c r="T59" s="1942">
        <f t="shared" si="17"/>
        <v>0.2</v>
      </c>
      <c r="U59" s="1942">
        <f t="shared" si="17"/>
        <v>0.2</v>
      </c>
      <c r="V59" s="1942">
        <f t="shared" si="17"/>
        <v>0.2</v>
      </c>
      <c r="W59" s="1942">
        <f t="shared" si="17"/>
        <v>0.2</v>
      </c>
      <c r="X59" s="1942">
        <f t="shared" si="17"/>
        <v>0.2</v>
      </c>
      <c r="Y59" s="1942">
        <f t="shared" si="17"/>
        <v>0</v>
      </c>
      <c r="Z59" s="1951">
        <f t="shared" si="17"/>
        <v>0.2</v>
      </c>
      <c r="AA59" s="1942">
        <f t="shared" si="17"/>
        <v>0.2</v>
      </c>
      <c r="AB59" s="1942">
        <f t="shared" si="8"/>
        <v>0.2</v>
      </c>
      <c r="AC59" s="1943">
        <f t="shared" si="8"/>
        <v>0</v>
      </c>
      <c r="AD59" s="1942">
        <f t="shared" si="8"/>
        <v>0</v>
      </c>
      <c r="AE59" s="1942">
        <f t="shared" si="8"/>
        <v>0</v>
      </c>
      <c r="AG59" s="1940">
        <v>4.3</v>
      </c>
      <c r="AH59" s="1944" t="s">
        <v>2093</v>
      </c>
      <c r="AI59" s="1941" t="s">
        <v>1948</v>
      </c>
      <c r="AJ59" s="1982">
        <v>0.2</v>
      </c>
      <c r="AK59" s="1982">
        <v>0.2</v>
      </c>
      <c r="AL59" s="1982">
        <v>0.2</v>
      </c>
      <c r="AM59" s="1982">
        <v>0.2</v>
      </c>
      <c r="AN59" s="1982">
        <v>0.2</v>
      </c>
      <c r="AO59" s="1982">
        <v>0.2</v>
      </c>
      <c r="AP59" s="1982"/>
      <c r="AQ59" s="1983">
        <v>0.2</v>
      </c>
      <c r="AR59" s="1982">
        <v>0.2</v>
      </c>
      <c r="AS59" s="1947">
        <v>0.2</v>
      </c>
      <c r="AT59" s="1948"/>
      <c r="AU59" s="1947"/>
      <c r="AV59" s="1947"/>
      <c r="AX59" s="1940">
        <v>4.3</v>
      </c>
      <c r="AY59" s="1944" t="s">
        <v>2093</v>
      </c>
      <c r="AZ59" s="1941" t="s">
        <v>1948</v>
      </c>
      <c r="BA59" s="1947">
        <v>0.2</v>
      </c>
      <c r="BB59" s="1947">
        <v>0.2</v>
      </c>
      <c r="BC59" s="1947">
        <v>0.2</v>
      </c>
      <c r="BD59" s="1947">
        <v>0.2</v>
      </c>
      <c r="BE59" s="1947">
        <v>0.2</v>
      </c>
      <c r="BF59" s="1947">
        <v>0.2</v>
      </c>
      <c r="BG59" s="1947"/>
      <c r="BH59" s="1954">
        <v>0.2</v>
      </c>
      <c r="BI59" s="1947">
        <v>0.2</v>
      </c>
      <c r="BJ59" s="1947">
        <v>0.2</v>
      </c>
      <c r="BK59" s="1948"/>
      <c r="BL59" s="1947"/>
      <c r="BM59" s="1947"/>
      <c r="BO59" s="1940">
        <v>4.3</v>
      </c>
      <c r="BP59" s="1944" t="s">
        <v>2093</v>
      </c>
      <c r="BQ59" s="1941" t="s">
        <v>3736</v>
      </c>
      <c r="BR59" s="1982">
        <v>0.2</v>
      </c>
      <c r="BS59" s="1982">
        <v>0.2</v>
      </c>
      <c r="BT59" s="1982">
        <v>0.2</v>
      </c>
      <c r="BU59" s="1982">
        <v>0.2</v>
      </c>
      <c r="BV59" s="1982">
        <v>0.2</v>
      </c>
      <c r="BW59" s="1982">
        <v>0.2</v>
      </c>
      <c r="BX59" s="1982"/>
      <c r="BY59" s="1983">
        <v>0.2</v>
      </c>
      <c r="BZ59" s="1982">
        <v>0.2</v>
      </c>
      <c r="CA59" s="1982">
        <v>0.2</v>
      </c>
      <c r="CB59" s="1984"/>
      <c r="CC59" s="1982"/>
      <c r="CD59" s="1982"/>
      <c r="CE59" s="2303"/>
      <c r="CG59" s="1940">
        <v>4.3</v>
      </c>
      <c r="CH59" s="1944" t="s">
        <v>2093</v>
      </c>
      <c r="CI59" s="1941" t="s">
        <v>1948</v>
      </c>
      <c r="CJ59" s="2943">
        <f t="shared" si="25"/>
        <v>0.2</v>
      </c>
      <c r="CK59" s="2943">
        <f t="shared" si="25"/>
        <v>0.2</v>
      </c>
      <c r="CL59" s="2943">
        <f t="shared" si="25"/>
        <v>0.2</v>
      </c>
      <c r="CM59" s="2943">
        <f t="shared" si="25"/>
        <v>0.2</v>
      </c>
      <c r="CN59" s="2943">
        <f t="shared" si="24"/>
        <v>0.2</v>
      </c>
      <c r="CO59" s="2943">
        <f t="shared" si="24"/>
        <v>0.2</v>
      </c>
      <c r="CP59" s="2943">
        <f t="shared" si="24"/>
        <v>0</v>
      </c>
      <c r="CQ59" s="2956">
        <f t="shared" si="24"/>
        <v>0.2</v>
      </c>
      <c r="CR59" s="2943">
        <f t="shared" si="24"/>
        <v>0.2</v>
      </c>
      <c r="CS59" s="2943">
        <f t="shared" si="24"/>
        <v>0.2</v>
      </c>
      <c r="CT59" s="2947">
        <f t="shared" si="9"/>
        <v>0</v>
      </c>
      <c r="CU59" s="2943">
        <f t="shared" si="9"/>
        <v>0</v>
      </c>
      <c r="CV59" s="2943">
        <f t="shared" si="9"/>
        <v>0</v>
      </c>
      <c r="CW59" s="2445"/>
      <c r="CX59" s="1940">
        <v>4.3</v>
      </c>
      <c r="CY59" s="1944" t="s">
        <v>2093</v>
      </c>
      <c r="CZ59" s="1941" t="s">
        <v>1948</v>
      </c>
      <c r="DA59" s="2945">
        <f t="shared" si="11"/>
        <v>0.2</v>
      </c>
      <c r="DB59" s="2945"/>
      <c r="DC59" s="2945"/>
      <c r="DD59" s="2945"/>
      <c r="DE59" s="2945"/>
      <c r="DF59" s="2945"/>
      <c r="DG59" s="2945"/>
      <c r="DH59" s="2957"/>
      <c r="DI59" s="2945"/>
      <c r="DJ59" s="2945"/>
      <c r="DK59" s="2949"/>
      <c r="DL59" s="2945"/>
      <c r="DM59" s="2945"/>
    </row>
    <row r="60" spans="1:117">
      <c r="B60" s="1914" t="str">
        <f t="shared" si="23"/>
        <v>4.3.1</v>
      </c>
      <c r="C60" s="1937" t="str">
        <f t="shared" si="18"/>
        <v>CO2の監視</v>
      </c>
      <c r="D60" s="1927">
        <f>IF(I$59&gt;0,G60/I$59,0)</f>
        <v>0.5</v>
      </c>
      <c r="E60" s="1939">
        <f>IF(J$59&gt;0,H60/J$59,0)</f>
        <v>0</v>
      </c>
      <c r="G60" s="1939">
        <f t="shared" si="19"/>
        <v>0.49212598425196852</v>
      </c>
      <c r="H60" s="1939">
        <f t="shared" si="20"/>
        <v>0</v>
      </c>
      <c r="I60" s="1939"/>
      <c r="J60" s="1939"/>
      <c r="K60" s="1939">
        <f>IF(スコア!Q60=0,0,1)</f>
        <v>1</v>
      </c>
      <c r="L60" s="1939">
        <f>IF(スコア!T60=0,0,1)</f>
        <v>0</v>
      </c>
      <c r="M60" s="1939">
        <f t="shared" si="21"/>
        <v>0.49212598425196852</v>
      </c>
      <c r="N60" s="1939">
        <f t="shared" si="22"/>
        <v>0</v>
      </c>
      <c r="P60" s="1940" t="str">
        <f t="shared" si="17"/>
        <v>4.3.1</v>
      </c>
      <c r="Q60" s="1940" t="str">
        <f t="shared" si="17"/>
        <v xml:space="preserve"> Q1 4.3</v>
      </c>
      <c r="R60" s="1941" t="str">
        <f t="shared" si="17"/>
        <v>CO2の監視</v>
      </c>
      <c r="S60" s="1942">
        <f t="shared" si="17"/>
        <v>0.5</v>
      </c>
      <c r="T60" s="1942">
        <f t="shared" si="17"/>
        <v>0.5</v>
      </c>
      <c r="U60" s="1942">
        <f t="shared" si="17"/>
        <v>0.5</v>
      </c>
      <c r="V60" s="1942">
        <f t="shared" si="17"/>
        <v>0.5</v>
      </c>
      <c r="W60" s="1942">
        <f t="shared" si="17"/>
        <v>0</v>
      </c>
      <c r="X60" s="1942">
        <f t="shared" si="17"/>
        <v>0</v>
      </c>
      <c r="Y60" s="1942">
        <f t="shared" si="17"/>
        <v>0</v>
      </c>
      <c r="Z60" s="1951">
        <f t="shared" si="17"/>
        <v>0.5</v>
      </c>
      <c r="AA60" s="1942">
        <f t="shared" si="17"/>
        <v>0.5</v>
      </c>
      <c r="AB60" s="1942">
        <f t="shared" si="8"/>
        <v>0.5</v>
      </c>
      <c r="AC60" s="1943">
        <f t="shared" si="8"/>
        <v>0</v>
      </c>
      <c r="AD60" s="1942">
        <f t="shared" si="8"/>
        <v>0</v>
      </c>
      <c r="AE60" s="1942">
        <f t="shared" si="8"/>
        <v>0</v>
      </c>
      <c r="AG60" s="1940" t="s">
        <v>2234</v>
      </c>
      <c r="AH60" s="1944" t="s">
        <v>2102</v>
      </c>
      <c r="AI60" s="1945" t="s">
        <v>2235</v>
      </c>
      <c r="AJ60" s="1982">
        <v>0.5</v>
      </c>
      <c r="AK60" s="1982">
        <v>0.5</v>
      </c>
      <c r="AL60" s="1982">
        <v>0.5</v>
      </c>
      <c r="AM60" s="1982">
        <v>0.5</v>
      </c>
      <c r="AN60" s="1982"/>
      <c r="AO60" s="1982"/>
      <c r="AP60" s="1982"/>
      <c r="AQ60" s="1983">
        <v>0.5</v>
      </c>
      <c r="AR60" s="1982">
        <v>0.5</v>
      </c>
      <c r="AS60" s="1947">
        <v>0.5</v>
      </c>
      <c r="AT60" s="1948"/>
      <c r="AU60" s="1947"/>
      <c r="AV60" s="1947"/>
      <c r="AX60" s="1940" t="s">
        <v>2234</v>
      </c>
      <c r="AY60" s="1944" t="s">
        <v>2102</v>
      </c>
      <c r="AZ60" s="1945" t="s">
        <v>2235</v>
      </c>
      <c r="BA60" s="1947">
        <v>0.5</v>
      </c>
      <c r="BB60" s="1947">
        <v>0.5</v>
      </c>
      <c r="BC60" s="1947">
        <v>0.5</v>
      </c>
      <c r="BD60" s="1947">
        <v>0.5</v>
      </c>
      <c r="BE60" s="1947"/>
      <c r="BF60" s="1947"/>
      <c r="BG60" s="1947"/>
      <c r="BH60" s="1954">
        <v>0.5</v>
      </c>
      <c r="BI60" s="1947">
        <v>0.5</v>
      </c>
      <c r="BJ60" s="1947">
        <v>0.5</v>
      </c>
      <c r="BK60" s="1948"/>
      <c r="BL60" s="1947"/>
      <c r="BM60" s="1947"/>
      <c r="BO60" s="1940" t="s">
        <v>3690</v>
      </c>
      <c r="BP60" s="1944" t="s">
        <v>2102</v>
      </c>
      <c r="BQ60" s="1945" t="s">
        <v>3650</v>
      </c>
      <c r="BR60" s="1982">
        <v>0.5</v>
      </c>
      <c r="BS60" s="1982">
        <v>0.5</v>
      </c>
      <c r="BT60" s="1982">
        <v>0.5</v>
      </c>
      <c r="BU60" s="1982">
        <v>0.5</v>
      </c>
      <c r="BV60" s="1982"/>
      <c r="BW60" s="1982"/>
      <c r="BX60" s="1982"/>
      <c r="BY60" s="1983">
        <v>0.5</v>
      </c>
      <c r="BZ60" s="1982">
        <v>0.5</v>
      </c>
      <c r="CA60" s="1982">
        <v>0.5</v>
      </c>
      <c r="CB60" s="1984"/>
      <c r="CC60" s="1982"/>
      <c r="CD60" s="1982"/>
      <c r="CE60" s="2303"/>
      <c r="CG60" s="1940" t="s">
        <v>3508</v>
      </c>
      <c r="CH60" s="1944" t="s">
        <v>2102</v>
      </c>
      <c r="CI60" s="1945" t="s">
        <v>3509</v>
      </c>
      <c r="CJ60" s="2943">
        <f t="shared" si="25"/>
        <v>0.5</v>
      </c>
      <c r="CK60" s="2943">
        <f t="shared" si="25"/>
        <v>0.5</v>
      </c>
      <c r="CL60" s="2943">
        <f t="shared" si="25"/>
        <v>0.5</v>
      </c>
      <c r="CM60" s="2943">
        <f t="shared" si="25"/>
        <v>0.5</v>
      </c>
      <c r="CN60" s="2943">
        <f t="shared" si="24"/>
        <v>0</v>
      </c>
      <c r="CO60" s="2943">
        <f t="shared" si="24"/>
        <v>0</v>
      </c>
      <c r="CP60" s="2943">
        <f t="shared" si="24"/>
        <v>0</v>
      </c>
      <c r="CQ60" s="2956">
        <f t="shared" si="24"/>
        <v>0.5</v>
      </c>
      <c r="CR60" s="2943">
        <f t="shared" si="24"/>
        <v>0.5</v>
      </c>
      <c r="CS60" s="2943">
        <f t="shared" si="24"/>
        <v>0.5</v>
      </c>
      <c r="CT60" s="2947">
        <f t="shared" si="9"/>
        <v>0</v>
      </c>
      <c r="CU60" s="2943">
        <f t="shared" si="9"/>
        <v>0</v>
      </c>
      <c r="CV60" s="2943">
        <f t="shared" si="9"/>
        <v>0</v>
      </c>
      <c r="CW60" s="2445"/>
      <c r="CX60" s="1940" t="s">
        <v>3508</v>
      </c>
      <c r="CY60" s="1944" t="s">
        <v>2102</v>
      </c>
      <c r="CZ60" s="1945" t="s">
        <v>3509</v>
      </c>
      <c r="DA60" s="2945">
        <f t="shared" si="11"/>
        <v>0.5</v>
      </c>
      <c r="DB60" s="2945"/>
      <c r="DC60" s="2945"/>
      <c r="DD60" s="2945"/>
      <c r="DE60" s="2945"/>
      <c r="DF60" s="2945"/>
      <c r="DG60" s="2945"/>
      <c r="DH60" s="2957"/>
      <c r="DI60" s="2945"/>
      <c r="DJ60" s="2945"/>
      <c r="DK60" s="2949"/>
      <c r="DL60" s="2945"/>
      <c r="DM60" s="2945"/>
    </row>
    <row r="61" spans="1:117">
      <c r="B61" s="1914" t="str">
        <f t="shared" si="23"/>
        <v>4.3.2</v>
      </c>
      <c r="C61" s="1937" t="str">
        <f t="shared" si="18"/>
        <v>喫煙の制御</v>
      </c>
      <c r="D61" s="1927">
        <f>IF(I$59&gt;0,G61/I$59,0)</f>
        <v>0.5</v>
      </c>
      <c r="E61" s="1939">
        <f>IF(J$59&gt;0,H61/J$59,0)</f>
        <v>0</v>
      </c>
      <c r="G61" s="1939">
        <f t="shared" si="19"/>
        <v>0.49212598425196852</v>
      </c>
      <c r="H61" s="1939">
        <f t="shared" si="20"/>
        <v>0</v>
      </c>
      <c r="I61" s="1939"/>
      <c r="J61" s="1939"/>
      <c r="K61" s="1939">
        <f>IF(スコア!Q61=0,0,1)</f>
        <v>1</v>
      </c>
      <c r="L61" s="1939">
        <f>IF(スコア!T61=0,0,1)</f>
        <v>0</v>
      </c>
      <c r="M61" s="1939">
        <f t="shared" si="21"/>
        <v>0.49212598425196852</v>
      </c>
      <c r="N61" s="1939">
        <f t="shared" si="22"/>
        <v>0</v>
      </c>
      <c r="P61" s="1940" t="str">
        <f t="shared" si="17"/>
        <v>4.3.2</v>
      </c>
      <c r="Q61" s="1940" t="str">
        <f t="shared" si="17"/>
        <v xml:space="preserve"> Q1 4.3</v>
      </c>
      <c r="R61" s="1941" t="str">
        <f t="shared" si="17"/>
        <v>喫煙の制御</v>
      </c>
      <c r="S61" s="1942">
        <f t="shared" si="17"/>
        <v>0.5</v>
      </c>
      <c r="T61" s="1942">
        <f t="shared" si="17"/>
        <v>0.5</v>
      </c>
      <c r="U61" s="1942">
        <f t="shared" si="17"/>
        <v>0.5</v>
      </c>
      <c r="V61" s="1942">
        <f t="shared" si="17"/>
        <v>0.5</v>
      </c>
      <c r="W61" s="1942">
        <f t="shared" si="17"/>
        <v>1</v>
      </c>
      <c r="X61" s="1942">
        <f t="shared" si="17"/>
        <v>1</v>
      </c>
      <c r="Y61" s="1942">
        <f t="shared" si="17"/>
        <v>0</v>
      </c>
      <c r="Z61" s="1951">
        <f t="shared" si="17"/>
        <v>0.5</v>
      </c>
      <c r="AA61" s="1942">
        <f t="shared" si="17"/>
        <v>0.5</v>
      </c>
      <c r="AB61" s="1942">
        <f t="shared" si="8"/>
        <v>0.5</v>
      </c>
      <c r="AC61" s="1943">
        <f t="shared" si="8"/>
        <v>0</v>
      </c>
      <c r="AD61" s="1942">
        <f t="shared" si="8"/>
        <v>0</v>
      </c>
      <c r="AE61" s="1942">
        <f t="shared" si="8"/>
        <v>0</v>
      </c>
      <c r="AG61" s="1940" t="s">
        <v>2236</v>
      </c>
      <c r="AH61" s="1944" t="s">
        <v>2102</v>
      </c>
      <c r="AI61" s="1945" t="s">
        <v>2237</v>
      </c>
      <c r="AJ61" s="1982">
        <v>0.5</v>
      </c>
      <c r="AK61" s="1982">
        <v>0.5</v>
      </c>
      <c r="AL61" s="1982">
        <v>0.5</v>
      </c>
      <c r="AM61" s="1982">
        <v>0.5</v>
      </c>
      <c r="AN61" s="1982">
        <v>1</v>
      </c>
      <c r="AO61" s="1982">
        <v>1</v>
      </c>
      <c r="AP61" s="1982"/>
      <c r="AQ61" s="1983">
        <v>0.5</v>
      </c>
      <c r="AR61" s="1982">
        <v>0.5</v>
      </c>
      <c r="AS61" s="1947">
        <v>0.5</v>
      </c>
      <c r="AT61" s="1948"/>
      <c r="AU61" s="1947"/>
      <c r="AV61" s="1947"/>
      <c r="AX61" s="1940" t="s">
        <v>2236</v>
      </c>
      <c r="AY61" s="1944" t="s">
        <v>2102</v>
      </c>
      <c r="AZ61" s="1945" t="s">
        <v>2237</v>
      </c>
      <c r="BA61" s="1947">
        <v>0.5</v>
      </c>
      <c r="BB61" s="1947">
        <v>0.5</v>
      </c>
      <c r="BC61" s="1947">
        <v>0.5</v>
      </c>
      <c r="BD61" s="1947">
        <v>0.5</v>
      </c>
      <c r="BE61" s="1947">
        <v>1</v>
      </c>
      <c r="BF61" s="1947">
        <v>1</v>
      </c>
      <c r="BG61" s="1947"/>
      <c r="BH61" s="1954">
        <v>0.5</v>
      </c>
      <c r="BI61" s="1947">
        <v>0.5</v>
      </c>
      <c r="BJ61" s="1947">
        <v>0.5</v>
      </c>
      <c r="BK61" s="1948"/>
      <c r="BL61" s="1947"/>
      <c r="BM61" s="1947"/>
      <c r="BO61" s="1940" t="s">
        <v>3691</v>
      </c>
      <c r="BP61" s="1944" t="s">
        <v>2102</v>
      </c>
      <c r="BQ61" s="1945" t="s">
        <v>3651</v>
      </c>
      <c r="BR61" s="1982">
        <v>0.5</v>
      </c>
      <c r="BS61" s="1982">
        <v>0.5</v>
      </c>
      <c r="BT61" s="1982">
        <v>0.5</v>
      </c>
      <c r="BU61" s="1982">
        <v>0.5</v>
      </c>
      <c r="BV61" s="1982">
        <v>1</v>
      </c>
      <c r="BW61" s="1982">
        <v>1</v>
      </c>
      <c r="BX61" s="1982"/>
      <c r="BY61" s="1983">
        <v>0.5</v>
      </c>
      <c r="BZ61" s="1982">
        <v>0.5</v>
      </c>
      <c r="CA61" s="1982">
        <v>0.5</v>
      </c>
      <c r="CB61" s="1984"/>
      <c r="CC61" s="1982"/>
      <c r="CD61" s="1982"/>
      <c r="CE61" s="2303"/>
      <c r="CG61" s="1940" t="s">
        <v>3510</v>
      </c>
      <c r="CH61" s="1944" t="s">
        <v>2102</v>
      </c>
      <c r="CI61" s="1945" t="s">
        <v>3511</v>
      </c>
      <c r="CJ61" s="2943">
        <f t="shared" si="25"/>
        <v>0.5</v>
      </c>
      <c r="CK61" s="2943">
        <f t="shared" si="25"/>
        <v>0.5</v>
      </c>
      <c r="CL61" s="2943">
        <f t="shared" si="25"/>
        <v>0.5</v>
      </c>
      <c r="CM61" s="2943">
        <f t="shared" si="25"/>
        <v>0.5</v>
      </c>
      <c r="CN61" s="2943">
        <f t="shared" si="24"/>
        <v>1</v>
      </c>
      <c r="CO61" s="2943">
        <f t="shared" si="24"/>
        <v>1</v>
      </c>
      <c r="CP61" s="2943">
        <f t="shared" si="24"/>
        <v>0</v>
      </c>
      <c r="CQ61" s="2956">
        <f t="shared" si="24"/>
        <v>0.5</v>
      </c>
      <c r="CR61" s="2943">
        <f t="shared" si="24"/>
        <v>0.5</v>
      </c>
      <c r="CS61" s="2943">
        <f t="shared" si="24"/>
        <v>0.5</v>
      </c>
      <c r="CT61" s="2947">
        <f t="shared" si="9"/>
        <v>0</v>
      </c>
      <c r="CU61" s="2943">
        <f t="shared" si="9"/>
        <v>0</v>
      </c>
      <c r="CV61" s="2943">
        <f t="shared" si="9"/>
        <v>0</v>
      </c>
      <c r="CW61" s="2445"/>
      <c r="CX61" s="1940" t="s">
        <v>3512</v>
      </c>
      <c r="CY61" s="1944" t="s">
        <v>2102</v>
      </c>
      <c r="CZ61" s="1945" t="s">
        <v>3511</v>
      </c>
      <c r="DA61" s="2945">
        <f t="shared" si="11"/>
        <v>0.5</v>
      </c>
      <c r="DB61" s="2945"/>
      <c r="DC61" s="2945"/>
      <c r="DD61" s="2945"/>
      <c r="DE61" s="2945"/>
      <c r="DF61" s="2945"/>
      <c r="DG61" s="2945"/>
      <c r="DH61" s="2957"/>
      <c r="DI61" s="2945"/>
      <c r="DJ61" s="2945"/>
      <c r="DK61" s="2949"/>
      <c r="DL61" s="2945"/>
      <c r="DM61" s="2945"/>
    </row>
    <row r="62" spans="1:117" s="1328" customFormat="1">
      <c r="A62"/>
      <c r="B62" s="1914" t="str">
        <f t="shared" si="23"/>
        <v>Q2</v>
      </c>
      <c r="C62" s="1918" t="str">
        <f t="shared" si="18"/>
        <v>サービス性能</v>
      </c>
      <c r="D62" s="1916">
        <f>IF(I$8=0,0,G62/I$8)</f>
        <v>0.3</v>
      </c>
      <c r="E62" s="1917">
        <f>IF(J$8=0,0,H62/J$8)</f>
        <v>0</v>
      </c>
      <c r="F62"/>
      <c r="G62" s="1917">
        <f t="shared" si="19"/>
        <v>0.3</v>
      </c>
      <c r="H62" s="1917">
        <f t="shared" si="20"/>
        <v>0</v>
      </c>
      <c r="I62" s="1917">
        <f>G63+G78+G100</f>
        <v>1</v>
      </c>
      <c r="J62" s="1917">
        <f>H63+H78+H100</f>
        <v>0</v>
      </c>
      <c r="K62" s="1917">
        <f>IF(スコア!V62=0,0,1)</f>
        <v>1</v>
      </c>
      <c r="L62" s="1917">
        <f>IF(スコア!T62=0,0,1)</f>
        <v>0</v>
      </c>
      <c r="M62" s="1917">
        <f t="shared" si="21"/>
        <v>0.3</v>
      </c>
      <c r="N62" s="1917">
        <f t="shared" si="22"/>
        <v>0</v>
      </c>
      <c r="O62"/>
      <c r="P62" s="1914" t="str">
        <f t="shared" si="17"/>
        <v>Q2</v>
      </c>
      <c r="Q62" s="1914" t="str">
        <f t="shared" si="17"/>
        <v xml:space="preserve"> Q</v>
      </c>
      <c r="R62" s="1918" t="str">
        <f t="shared" si="17"/>
        <v>サービス性能</v>
      </c>
      <c r="S62" s="1919">
        <f t="shared" ref="S62:AE82" si="31">IF($P$3=1,BA62,IF($P$3=2,BR62,IF($P$3=3,CJ62,IF($P$3=4,DA62,AJ62))))</f>
        <v>0.3</v>
      </c>
      <c r="T62" s="1919">
        <f t="shared" si="31"/>
        <v>0.3</v>
      </c>
      <c r="U62" s="1919">
        <f t="shared" si="31"/>
        <v>0.3</v>
      </c>
      <c r="V62" s="1919">
        <f t="shared" si="31"/>
        <v>0.3</v>
      </c>
      <c r="W62" s="1919">
        <f t="shared" si="31"/>
        <v>0.3</v>
      </c>
      <c r="X62" s="1919">
        <f t="shared" si="31"/>
        <v>0.3</v>
      </c>
      <c r="Y62" s="1919">
        <f t="shared" si="31"/>
        <v>0.3</v>
      </c>
      <c r="Z62" s="1919">
        <f t="shared" si="31"/>
        <v>0.3</v>
      </c>
      <c r="AA62" s="1919">
        <f t="shared" si="31"/>
        <v>0.3</v>
      </c>
      <c r="AB62" s="1919">
        <f t="shared" si="8"/>
        <v>0.3</v>
      </c>
      <c r="AC62" s="1920">
        <f t="shared" si="8"/>
        <v>0</v>
      </c>
      <c r="AD62" s="1919">
        <f t="shared" si="8"/>
        <v>0</v>
      </c>
      <c r="AE62" s="1919">
        <f t="shared" si="8"/>
        <v>0</v>
      </c>
      <c r="AF62"/>
      <c r="AG62" s="1914" t="s">
        <v>2238</v>
      </c>
      <c r="AH62" s="1921" t="s">
        <v>766</v>
      </c>
      <c r="AI62" s="1918" t="s">
        <v>2239</v>
      </c>
      <c r="AJ62" s="1919">
        <v>0.3</v>
      </c>
      <c r="AK62" s="1919">
        <v>0.3</v>
      </c>
      <c r="AL62" s="1919">
        <v>0.3</v>
      </c>
      <c r="AM62" s="1919">
        <v>0.3</v>
      </c>
      <c r="AN62" s="1919">
        <v>0.3</v>
      </c>
      <c r="AO62" s="1919">
        <v>0.3</v>
      </c>
      <c r="AP62" s="1919">
        <v>0.3</v>
      </c>
      <c r="AQ62" s="1919">
        <v>0.3</v>
      </c>
      <c r="AR62" s="1919">
        <v>0.3</v>
      </c>
      <c r="AS62" s="1922">
        <v>0.3</v>
      </c>
      <c r="AT62" s="1923">
        <v>0</v>
      </c>
      <c r="AU62" s="1922">
        <v>0</v>
      </c>
      <c r="AV62" s="1922">
        <v>0</v>
      </c>
      <c r="AW62"/>
      <c r="AX62" s="1914" t="s">
        <v>2238</v>
      </c>
      <c r="AY62" s="1921" t="s">
        <v>766</v>
      </c>
      <c r="AZ62" s="1918" t="s">
        <v>2239</v>
      </c>
      <c r="BA62" s="1922">
        <v>0.3</v>
      </c>
      <c r="BB62" s="1922">
        <v>0.3</v>
      </c>
      <c r="BC62" s="1922">
        <v>0.3</v>
      </c>
      <c r="BD62" s="1922">
        <v>0.3</v>
      </c>
      <c r="BE62" s="1922">
        <v>0.3</v>
      </c>
      <c r="BF62" s="1922">
        <v>0.3</v>
      </c>
      <c r="BG62" s="1922">
        <v>0.3</v>
      </c>
      <c r="BH62" s="1922">
        <v>0.3</v>
      </c>
      <c r="BI62" s="1922">
        <v>0.3</v>
      </c>
      <c r="BJ62" s="1922">
        <v>0.3</v>
      </c>
      <c r="BK62" s="1923"/>
      <c r="BL62" s="1922"/>
      <c r="BM62" s="1922"/>
      <c r="BN62"/>
      <c r="BO62" s="1914" t="s">
        <v>3692</v>
      </c>
      <c r="BP62" s="1921" t="s">
        <v>766</v>
      </c>
      <c r="BQ62" s="1918" t="s">
        <v>3652</v>
      </c>
      <c r="BR62" s="1922">
        <v>0.3</v>
      </c>
      <c r="BS62" s="1922">
        <v>0.3</v>
      </c>
      <c r="BT62" s="1922">
        <v>0.3</v>
      </c>
      <c r="BU62" s="1922">
        <v>0.3</v>
      </c>
      <c r="BV62" s="1922">
        <v>0.3</v>
      </c>
      <c r="BW62" s="1922">
        <v>0.3</v>
      </c>
      <c r="BX62" s="1922">
        <v>0.3</v>
      </c>
      <c r="BY62" s="1922">
        <v>0.3</v>
      </c>
      <c r="BZ62" s="1922">
        <v>0.3</v>
      </c>
      <c r="CA62" s="1922">
        <v>0.3</v>
      </c>
      <c r="CB62" s="1923"/>
      <c r="CC62" s="1922"/>
      <c r="CD62" s="1922"/>
      <c r="CE62" s="2300"/>
      <c r="CF62"/>
      <c r="CG62" s="1914" t="s">
        <v>3513</v>
      </c>
      <c r="CH62" s="1921" t="s">
        <v>766</v>
      </c>
      <c r="CI62" s="1918" t="s">
        <v>3514</v>
      </c>
      <c r="CJ62" s="2932">
        <v>0.15</v>
      </c>
      <c r="CK62" s="2932">
        <v>0.15</v>
      </c>
      <c r="CL62" s="2932">
        <v>0.15</v>
      </c>
      <c r="CM62" s="2932">
        <v>0.15</v>
      </c>
      <c r="CN62" s="2932">
        <v>0.15</v>
      </c>
      <c r="CO62" s="2932">
        <v>0.15</v>
      </c>
      <c r="CP62" s="2932">
        <v>0.15</v>
      </c>
      <c r="CQ62" s="2932">
        <v>0.15</v>
      </c>
      <c r="CR62" s="2932">
        <v>0.15</v>
      </c>
      <c r="CS62" s="2932">
        <v>0.15</v>
      </c>
      <c r="CT62" s="2936">
        <f t="shared" si="9"/>
        <v>0</v>
      </c>
      <c r="CU62" s="2932">
        <f t="shared" si="9"/>
        <v>0</v>
      </c>
      <c r="CV62" s="2932">
        <f t="shared" si="9"/>
        <v>0</v>
      </c>
      <c r="CW62" s="2445"/>
      <c r="CX62" s="1914" t="s">
        <v>3513</v>
      </c>
      <c r="CY62" s="1921" t="s">
        <v>766</v>
      </c>
      <c r="CZ62" s="1918" t="s">
        <v>3514</v>
      </c>
      <c r="DA62" s="2935">
        <v>0.4</v>
      </c>
      <c r="DB62" s="2932"/>
      <c r="DC62" s="2932"/>
      <c r="DD62" s="2932"/>
      <c r="DE62" s="2932"/>
      <c r="DF62" s="2932"/>
      <c r="DG62" s="2932"/>
      <c r="DH62" s="2932"/>
      <c r="DI62" s="2932"/>
      <c r="DJ62" s="2932"/>
      <c r="DK62" s="2936"/>
      <c r="DL62" s="2932"/>
      <c r="DM62" s="2932"/>
    </row>
    <row r="63" spans="1:117" s="1328" customFormat="1">
      <c r="A63"/>
      <c r="B63" s="1914">
        <f t="shared" si="23"/>
        <v>1</v>
      </c>
      <c r="C63" s="1929" t="str">
        <f t="shared" si="18"/>
        <v>機能性</v>
      </c>
      <c r="D63" s="1925">
        <f>IF(I$62=0,0,G63/I$62)</f>
        <v>0.4</v>
      </c>
      <c r="E63" s="1926">
        <f>IF(J$62=0,0,H63/J$62)</f>
        <v>0</v>
      </c>
      <c r="F63"/>
      <c r="G63" s="1926">
        <f t="shared" si="19"/>
        <v>0.4</v>
      </c>
      <c r="H63" s="1926">
        <f t="shared" si="20"/>
        <v>0</v>
      </c>
      <c r="I63" s="1926">
        <f>G64+G68+G74</f>
        <v>1</v>
      </c>
      <c r="J63" s="1926">
        <f>H64+H68+H74</f>
        <v>1.5748031496062992E-2</v>
      </c>
      <c r="K63" s="1926">
        <f>IF(スコア!Q63=0,0,1)</f>
        <v>1</v>
      </c>
      <c r="L63" s="1926">
        <f>IF(スコア!T63=0,0,1)</f>
        <v>1</v>
      </c>
      <c r="M63" s="1926">
        <f t="shared" si="21"/>
        <v>0.4</v>
      </c>
      <c r="N63" s="1926">
        <f t="shared" si="22"/>
        <v>0</v>
      </c>
      <c r="O63"/>
      <c r="P63" s="1928">
        <f t="shared" ref="P63:V110" si="32">IF($P$3=1,AX63,IF($P$3=2,BO63,IF($P$3=3,CG63,IF($P$3=4,CX63,AG63))))</f>
        <v>1</v>
      </c>
      <c r="Q63" s="1928" t="str">
        <f t="shared" si="32"/>
        <v xml:space="preserve"> Q2</v>
      </c>
      <c r="R63" s="1929" t="str">
        <f t="shared" si="32"/>
        <v>機能性</v>
      </c>
      <c r="S63" s="1987">
        <f t="shared" si="31"/>
        <v>0.4</v>
      </c>
      <c r="T63" s="1987">
        <f t="shared" si="31"/>
        <v>0.4</v>
      </c>
      <c r="U63" s="1987">
        <f t="shared" si="31"/>
        <v>0.4</v>
      </c>
      <c r="V63" s="1987">
        <f t="shared" si="31"/>
        <v>0.4</v>
      </c>
      <c r="W63" s="1987">
        <f t="shared" si="31"/>
        <v>0.4</v>
      </c>
      <c r="X63" s="1987">
        <f t="shared" si="31"/>
        <v>0.4</v>
      </c>
      <c r="Y63" s="1987">
        <f t="shared" si="31"/>
        <v>0.4</v>
      </c>
      <c r="Z63" s="1956">
        <f t="shared" si="31"/>
        <v>0.4</v>
      </c>
      <c r="AA63" s="2411">
        <f>IF($Q$3="coCASB",0,IF($P$3=1,BI63,IF($P$3=2,BZ63,IF($P$3=3,CR63,IF($P$3=4,DI63,AR63)))))</f>
        <v>0.4</v>
      </c>
      <c r="AB63" s="1987">
        <f t="shared" si="8"/>
        <v>0.4</v>
      </c>
      <c r="AC63" s="1988">
        <f t="shared" si="8"/>
        <v>0</v>
      </c>
      <c r="AD63" s="1987">
        <f t="shared" si="8"/>
        <v>0</v>
      </c>
      <c r="AE63" s="1987">
        <f t="shared" si="8"/>
        <v>0</v>
      </c>
      <c r="AF63"/>
      <c r="AG63" s="1928">
        <v>1</v>
      </c>
      <c r="AH63" s="1933" t="s">
        <v>2103</v>
      </c>
      <c r="AI63" s="1929" t="s">
        <v>2104</v>
      </c>
      <c r="AJ63" s="1987">
        <v>0.4</v>
      </c>
      <c r="AK63" s="1987">
        <v>0.4</v>
      </c>
      <c r="AL63" s="1987">
        <v>0.4</v>
      </c>
      <c r="AM63" s="1987">
        <v>0.4</v>
      </c>
      <c r="AN63" s="1987">
        <v>0.4</v>
      </c>
      <c r="AO63" s="1987">
        <v>0.4</v>
      </c>
      <c r="AP63" s="1987">
        <v>0.4</v>
      </c>
      <c r="AQ63" s="1956">
        <v>0.4</v>
      </c>
      <c r="AR63" s="1987">
        <v>0.4</v>
      </c>
      <c r="AS63" s="1989">
        <v>0.4</v>
      </c>
      <c r="AT63" s="1990"/>
      <c r="AU63" s="1989"/>
      <c r="AV63" s="1989"/>
      <c r="AW63"/>
      <c r="AX63" s="1928">
        <v>1</v>
      </c>
      <c r="AY63" s="1933" t="s">
        <v>2103</v>
      </c>
      <c r="AZ63" s="1929" t="s">
        <v>2104</v>
      </c>
      <c r="BA63" s="1989">
        <v>0.4</v>
      </c>
      <c r="BB63" s="1989">
        <v>0.4</v>
      </c>
      <c r="BC63" s="1989">
        <v>0.4</v>
      </c>
      <c r="BD63" s="1989">
        <v>0.4</v>
      </c>
      <c r="BE63" s="1989">
        <v>0.4</v>
      </c>
      <c r="BF63" s="1989">
        <v>0.4</v>
      </c>
      <c r="BG63" s="1989">
        <v>0.4</v>
      </c>
      <c r="BH63" s="1991">
        <v>0.4</v>
      </c>
      <c r="BI63" s="1989">
        <v>0.4</v>
      </c>
      <c r="BJ63" s="1989">
        <v>0.4</v>
      </c>
      <c r="BK63" s="1990"/>
      <c r="BL63" s="1989"/>
      <c r="BM63" s="1989"/>
      <c r="BN63"/>
      <c r="BO63" s="1928">
        <v>1</v>
      </c>
      <c r="BP63" s="1933" t="s">
        <v>2103</v>
      </c>
      <c r="BQ63" s="1929" t="s">
        <v>2104</v>
      </c>
      <c r="BR63" s="1989">
        <v>0.4</v>
      </c>
      <c r="BS63" s="1989">
        <v>0.4</v>
      </c>
      <c r="BT63" s="1989">
        <v>0.4</v>
      </c>
      <c r="BU63" s="1989">
        <v>0.4</v>
      </c>
      <c r="BV63" s="1989">
        <v>0.4</v>
      </c>
      <c r="BW63" s="1989">
        <v>0.4</v>
      </c>
      <c r="BX63" s="1989">
        <v>0.4</v>
      </c>
      <c r="BY63" s="1991">
        <v>0.4</v>
      </c>
      <c r="BZ63" s="1989">
        <v>0.4</v>
      </c>
      <c r="CA63" s="1989">
        <v>0.4</v>
      </c>
      <c r="CB63" s="1990"/>
      <c r="CC63" s="1989"/>
      <c r="CD63" s="1989"/>
      <c r="CE63" s="2300"/>
      <c r="CF63"/>
      <c r="CG63" s="1928">
        <v>1</v>
      </c>
      <c r="CH63" s="1933" t="s">
        <v>2103</v>
      </c>
      <c r="CI63" s="1929" t="s">
        <v>2104</v>
      </c>
      <c r="CJ63" s="2964">
        <v>0.75</v>
      </c>
      <c r="CK63" s="2964">
        <v>0.75</v>
      </c>
      <c r="CL63" s="2964">
        <v>0.75</v>
      </c>
      <c r="CM63" s="2964">
        <v>0.75</v>
      </c>
      <c r="CN63" s="2964">
        <v>0.75</v>
      </c>
      <c r="CO63" s="2964">
        <v>0.75</v>
      </c>
      <c r="CP63" s="2964">
        <v>0.75</v>
      </c>
      <c r="CQ63" s="2964">
        <v>0.75</v>
      </c>
      <c r="CR63" s="2964">
        <v>0.75</v>
      </c>
      <c r="CS63" s="2964">
        <v>0.75</v>
      </c>
      <c r="CT63" s="2965">
        <f t="shared" si="9"/>
        <v>0</v>
      </c>
      <c r="CU63" s="2964">
        <f t="shared" si="9"/>
        <v>0</v>
      </c>
      <c r="CV63" s="2964">
        <f t="shared" si="9"/>
        <v>0</v>
      </c>
      <c r="CW63" s="2445"/>
      <c r="CX63" s="1928">
        <v>1</v>
      </c>
      <c r="CY63" s="1933" t="s">
        <v>2103</v>
      </c>
      <c r="CZ63" s="1929" t="s">
        <v>2104</v>
      </c>
      <c r="DA63" s="2966">
        <v>0.6</v>
      </c>
      <c r="DB63" s="2964"/>
      <c r="DC63" s="2964"/>
      <c r="DD63" s="2964"/>
      <c r="DE63" s="2964"/>
      <c r="DF63" s="2964"/>
      <c r="DG63" s="2964"/>
      <c r="DH63" s="2964"/>
      <c r="DI63" s="2964"/>
      <c r="DJ63" s="2964"/>
      <c r="DK63" s="2965"/>
      <c r="DL63" s="2964"/>
      <c r="DM63" s="2964"/>
    </row>
    <row r="64" spans="1:117">
      <c r="B64" s="1914">
        <f t="shared" si="23"/>
        <v>1.1000000000000001</v>
      </c>
      <c r="C64" s="1937" t="str">
        <f t="shared" si="18"/>
        <v>機能性・使いやすさ</v>
      </c>
      <c r="D64" s="1938">
        <f>IF(I$63=0,0,G64/I$63)</f>
        <v>0.4</v>
      </c>
      <c r="E64" s="1939">
        <f>IF(J$63=0,0,H64/J$63)</f>
        <v>0.6</v>
      </c>
      <c r="G64" s="1939">
        <f t="shared" si="19"/>
        <v>0.4</v>
      </c>
      <c r="H64" s="1939">
        <f t="shared" si="20"/>
        <v>9.4488188976377951E-3</v>
      </c>
      <c r="I64" s="1939">
        <f>SUM(G65:G67)</f>
        <v>1</v>
      </c>
      <c r="J64" s="1939">
        <f>SUM(H65:H67)</f>
        <v>1.5748031496062992E-2</v>
      </c>
      <c r="K64" s="1939">
        <f>IF(スコア!Q64=0,0,1)</f>
        <v>1</v>
      </c>
      <c r="L64" s="1939">
        <f>IF(スコア!T64=0,0,1)</f>
        <v>1</v>
      </c>
      <c r="M64" s="1939">
        <f t="shared" si="21"/>
        <v>0.4</v>
      </c>
      <c r="N64" s="1939">
        <f t="shared" si="22"/>
        <v>9.4488188976377951E-3</v>
      </c>
      <c r="P64" s="1940">
        <f t="shared" si="32"/>
        <v>1.1000000000000001</v>
      </c>
      <c r="Q64" s="1940" t="str">
        <f t="shared" si="32"/>
        <v xml:space="preserve"> Q2 1</v>
      </c>
      <c r="R64" s="1941" t="str">
        <f t="shared" si="32"/>
        <v>機能性・使いやすさ</v>
      </c>
      <c r="S64" s="1942">
        <f t="shared" si="31"/>
        <v>0.4</v>
      </c>
      <c r="T64" s="1942">
        <f t="shared" si="31"/>
        <v>0.4</v>
      </c>
      <c r="U64" s="1942">
        <f t="shared" si="31"/>
        <v>0.4</v>
      </c>
      <c r="V64" s="1942">
        <f t="shared" si="31"/>
        <v>0.4</v>
      </c>
      <c r="W64" s="1942">
        <f t="shared" si="31"/>
        <v>0.4</v>
      </c>
      <c r="X64" s="1942">
        <f t="shared" si="31"/>
        <v>0.4</v>
      </c>
      <c r="Y64" s="1942">
        <f t="shared" si="31"/>
        <v>0.4</v>
      </c>
      <c r="Z64" s="1960">
        <f t="shared" si="31"/>
        <v>0.4</v>
      </c>
      <c r="AA64" s="1942">
        <f t="shared" si="31"/>
        <v>0.4</v>
      </c>
      <c r="AB64" s="1942">
        <f t="shared" si="31"/>
        <v>0.4</v>
      </c>
      <c r="AC64" s="1943">
        <f t="shared" si="31"/>
        <v>0.6</v>
      </c>
      <c r="AD64" s="1942">
        <f t="shared" si="31"/>
        <v>0.6</v>
      </c>
      <c r="AE64" s="1942">
        <f t="shared" si="31"/>
        <v>0.6</v>
      </c>
      <c r="AG64" s="1940">
        <v>1.1000000000000001</v>
      </c>
      <c r="AH64" s="1944" t="s">
        <v>2105</v>
      </c>
      <c r="AI64" s="1945" t="s">
        <v>2106</v>
      </c>
      <c r="AJ64" s="1942">
        <v>0.4</v>
      </c>
      <c r="AK64" s="1942">
        <v>0.4</v>
      </c>
      <c r="AL64" s="1942">
        <v>0.4</v>
      </c>
      <c r="AM64" s="1946">
        <v>0.4</v>
      </c>
      <c r="AN64" s="1946">
        <v>0.4</v>
      </c>
      <c r="AO64" s="1942">
        <v>0.4</v>
      </c>
      <c r="AP64" s="1946">
        <v>0.4</v>
      </c>
      <c r="AQ64" s="1942">
        <v>0.4</v>
      </c>
      <c r="AR64" s="1946">
        <v>0.4</v>
      </c>
      <c r="AS64" s="1947">
        <v>0.4</v>
      </c>
      <c r="AT64" s="1947">
        <v>0.6</v>
      </c>
      <c r="AU64" s="1947">
        <v>0.6</v>
      </c>
      <c r="AV64" s="1947">
        <v>0.6</v>
      </c>
      <c r="AX64" s="1940">
        <v>1.1000000000000001</v>
      </c>
      <c r="AY64" s="1944" t="s">
        <v>2105</v>
      </c>
      <c r="AZ64" s="1945" t="s">
        <v>2106</v>
      </c>
      <c r="BA64" s="1947">
        <v>0.4</v>
      </c>
      <c r="BB64" s="1947">
        <v>0.4</v>
      </c>
      <c r="BC64" s="1947">
        <v>0.4</v>
      </c>
      <c r="BD64" s="1947">
        <v>0.4</v>
      </c>
      <c r="BE64" s="1947">
        <v>0.4</v>
      </c>
      <c r="BF64" s="1947">
        <v>0.4</v>
      </c>
      <c r="BG64" s="1947">
        <v>0.4</v>
      </c>
      <c r="BH64" s="1954">
        <v>0.4</v>
      </c>
      <c r="BI64" s="1947">
        <v>0.4</v>
      </c>
      <c r="BJ64" s="1947">
        <v>0.4</v>
      </c>
      <c r="BK64" s="1947">
        <v>0.6</v>
      </c>
      <c r="BL64" s="1947">
        <v>0.6</v>
      </c>
      <c r="BM64" s="1947">
        <v>0.6</v>
      </c>
      <c r="BO64" s="1940">
        <v>1.1000000000000001</v>
      </c>
      <c r="BP64" s="1944" t="s">
        <v>2105</v>
      </c>
      <c r="BQ64" s="1945" t="s">
        <v>3737</v>
      </c>
      <c r="BR64" s="1947">
        <v>0.4</v>
      </c>
      <c r="BS64" s="1947">
        <v>0.4</v>
      </c>
      <c r="BT64" s="1947">
        <v>0.4</v>
      </c>
      <c r="BU64" s="1947">
        <v>0.4</v>
      </c>
      <c r="BV64" s="1947">
        <v>0.4</v>
      </c>
      <c r="BW64" s="1947">
        <v>0.4</v>
      </c>
      <c r="BX64" s="1947">
        <v>0.4</v>
      </c>
      <c r="BY64" s="1954">
        <v>0.4</v>
      </c>
      <c r="BZ64" s="1947">
        <v>0.4</v>
      </c>
      <c r="CA64" s="1947">
        <v>0.4</v>
      </c>
      <c r="CB64" s="1947">
        <v>0.6</v>
      </c>
      <c r="CC64" s="1947">
        <v>0.6</v>
      </c>
      <c r="CD64" s="1947">
        <v>0.6</v>
      </c>
      <c r="CE64" s="2302"/>
      <c r="CG64" s="1940">
        <v>1.1000000000000001</v>
      </c>
      <c r="CH64" s="1944" t="s">
        <v>2105</v>
      </c>
      <c r="CI64" s="1945" t="s">
        <v>2106</v>
      </c>
      <c r="CJ64" s="2943">
        <f t="shared" si="25"/>
        <v>0.4</v>
      </c>
      <c r="CK64" s="2943">
        <f t="shared" si="25"/>
        <v>0.4</v>
      </c>
      <c r="CL64" s="2943">
        <f t="shared" si="25"/>
        <v>0.4</v>
      </c>
      <c r="CM64" s="2943">
        <f t="shared" si="25"/>
        <v>0.4</v>
      </c>
      <c r="CN64" s="2943">
        <f t="shared" si="24"/>
        <v>0.4</v>
      </c>
      <c r="CO64" s="2943">
        <f t="shared" si="24"/>
        <v>0.4</v>
      </c>
      <c r="CP64" s="2943">
        <f t="shared" si="24"/>
        <v>0.4</v>
      </c>
      <c r="CQ64" s="2967">
        <f t="shared" si="24"/>
        <v>0.4</v>
      </c>
      <c r="CR64" s="2943">
        <f t="shared" si="24"/>
        <v>0.4</v>
      </c>
      <c r="CS64" s="2943">
        <f t="shared" si="24"/>
        <v>0.4</v>
      </c>
      <c r="CT64" s="2943">
        <f t="shared" si="9"/>
        <v>0.6</v>
      </c>
      <c r="CU64" s="2943">
        <f t="shared" si="9"/>
        <v>0.6</v>
      </c>
      <c r="CV64" s="2943">
        <f t="shared" si="9"/>
        <v>0.6</v>
      </c>
      <c r="CW64" s="2445"/>
      <c r="CX64" s="1940">
        <v>1.1000000000000001</v>
      </c>
      <c r="CY64" s="1944" t="s">
        <v>2105</v>
      </c>
      <c r="CZ64" s="1945" t="s">
        <v>2106</v>
      </c>
      <c r="DA64" s="2945">
        <f t="shared" si="11"/>
        <v>0.4</v>
      </c>
      <c r="DB64" s="2945"/>
      <c r="DC64" s="2945"/>
      <c r="DD64" s="2945"/>
      <c r="DE64" s="2945"/>
      <c r="DF64" s="2945"/>
      <c r="DG64" s="2945"/>
      <c r="DH64" s="2968"/>
      <c r="DI64" s="2945"/>
      <c r="DJ64" s="2945"/>
      <c r="DK64" s="2945"/>
      <c r="DL64" s="2945"/>
      <c r="DM64" s="2945"/>
    </row>
    <row r="65" spans="1:117">
      <c r="B65" s="1914" t="str">
        <f t="shared" si="23"/>
        <v>1.1.1</v>
      </c>
      <c r="C65" s="1937" t="str">
        <f t="shared" si="18"/>
        <v>広さ・収納性</v>
      </c>
      <c r="D65" s="1927">
        <f t="shared" ref="D65:E67" si="33">IF(I$64&gt;0,G65/I$64,0)</f>
        <v>0.32808398950131235</v>
      </c>
      <c r="E65" s="1939">
        <f t="shared" si="33"/>
        <v>0</v>
      </c>
      <c r="G65" s="1939">
        <f t="shared" si="19"/>
        <v>0.32808398950131235</v>
      </c>
      <c r="H65" s="1939">
        <f t="shared" si="20"/>
        <v>0</v>
      </c>
      <c r="I65" s="1939"/>
      <c r="J65" s="1939"/>
      <c r="K65" s="1939">
        <f>IF(スコア!Q65=0,0,1)</f>
        <v>1</v>
      </c>
      <c r="L65" s="1939">
        <f>IF(スコア!T65=0,0,1)</f>
        <v>1</v>
      </c>
      <c r="M65" s="1939">
        <f t="shared" si="21"/>
        <v>0.32808398950131235</v>
      </c>
      <c r="N65" s="1939">
        <f t="shared" si="22"/>
        <v>0</v>
      </c>
      <c r="P65" s="1940" t="str">
        <f t="shared" si="32"/>
        <v>1.1.1</v>
      </c>
      <c r="Q65" s="1940" t="str">
        <f t="shared" si="32"/>
        <v xml:space="preserve"> Q2 1.1</v>
      </c>
      <c r="R65" s="1941" t="str">
        <f t="shared" si="32"/>
        <v>広さ・収納性</v>
      </c>
      <c r="S65" s="1942">
        <f t="shared" si="31"/>
        <v>0.33333333333333331</v>
      </c>
      <c r="T65" s="1942">
        <f t="shared" si="31"/>
        <v>0</v>
      </c>
      <c r="U65" s="1942">
        <f t="shared" si="31"/>
        <v>0</v>
      </c>
      <c r="V65" s="1942">
        <f t="shared" si="31"/>
        <v>0</v>
      </c>
      <c r="W65" s="1942">
        <f t="shared" si="31"/>
        <v>0</v>
      </c>
      <c r="X65" s="1942">
        <f t="shared" si="31"/>
        <v>0</v>
      </c>
      <c r="Y65" s="1942">
        <f t="shared" si="31"/>
        <v>0</v>
      </c>
      <c r="Z65" s="1960">
        <f t="shared" si="31"/>
        <v>0</v>
      </c>
      <c r="AA65" s="1942">
        <f t="shared" si="31"/>
        <v>0.33333333333333331</v>
      </c>
      <c r="AB65" s="1942">
        <f t="shared" si="31"/>
        <v>0</v>
      </c>
      <c r="AC65" s="1943">
        <f t="shared" si="31"/>
        <v>1</v>
      </c>
      <c r="AD65" s="1942">
        <f t="shared" si="31"/>
        <v>0.5</v>
      </c>
      <c r="AE65" s="1942">
        <f t="shared" si="31"/>
        <v>0</v>
      </c>
      <c r="AG65" s="1940" t="s">
        <v>2240</v>
      </c>
      <c r="AH65" s="1944" t="s">
        <v>2107</v>
      </c>
      <c r="AI65" s="1945" t="s">
        <v>2108</v>
      </c>
      <c r="AJ65" s="1985">
        <v>0.33333333333333331</v>
      </c>
      <c r="AK65" s="1942"/>
      <c r="AL65" s="1942"/>
      <c r="AM65" s="1942"/>
      <c r="AN65" s="1942"/>
      <c r="AO65" s="1942"/>
      <c r="AP65" s="1942"/>
      <c r="AQ65" s="1960"/>
      <c r="AR65" s="1985">
        <v>0.33333333333333331</v>
      </c>
      <c r="AS65" s="1964">
        <v>0.5</v>
      </c>
      <c r="AT65" s="1948">
        <v>1</v>
      </c>
      <c r="AU65" s="1947">
        <v>0.5</v>
      </c>
      <c r="AV65" s="1947"/>
      <c r="AX65" s="1940" t="s">
        <v>2240</v>
      </c>
      <c r="AY65" s="1944" t="s">
        <v>2107</v>
      </c>
      <c r="AZ65" s="1945" t="s">
        <v>2108</v>
      </c>
      <c r="BA65" s="1947">
        <v>0.33333333333333331</v>
      </c>
      <c r="BB65" s="1947"/>
      <c r="BC65" s="1947"/>
      <c r="BD65" s="1947"/>
      <c r="BE65" s="1947"/>
      <c r="BF65" s="1947"/>
      <c r="BG65" s="1947"/>
      <c r="BH65" s="1954"/>
      <c r="BI65" s="1947">
        <v>0.33333333333333331</v>
      </c>
      <c r="BJ65" s="1947">
        <v>0.5</v>
      </c>
      <c r="BK65" s="1948">
        <v>1</v>
      </c>
      <c r="BL65" s="1947">
        <v>0.5</v>
      </c>
      <c r="BM65" s="1947"/>
      <c r="BO65" s="1940" t="s">
        <v>769</v>
      </c>
      <c r="BP65" s="1944" t="s">
        <v>2107</v>
      </c>
      <c r="BQ65" s="1945" t="s">
        <v>2108</v>
      </c>
      <c r="BR65" s="1947">
        <v>0.33333333333333331</v>
      </c>
      <c r="BS65" s="1947"/>
      <c r="BT65" s="1947"/>
      <c r="BU65" s="1947"/>
      <c r="BV65" s="1947"/>
      <c r="BW65" s="1947"/>
      <c r="BX65" s="1947"/>
      <c r="BY65" s="1954"/>
      <c r="BZ65" s="1947">
        <v>0.33333333333333331</v>
      </c>
      <c r="CA65" s="1947"/>
      <c r="CB65" s="1948">
        <v>1</v>
      </c>
      <c r="CC65" s="1947">
        <v>0.5</v>
      </c>
      <c r="CD65" s="1947"/>
      <c r="CE65" s="2302"/>
      <c r="CG65" s="1940" t="s">
        <v>3515</v>
      </c>
      <c r="CH65" s="1944" t="s">
        <v>2107</v>
      </c>
      <c r="CI65" s="1945" t="s">
        <v>2108</v>
      </c>
      <c r="CJ65" s="2943">
        <f t="shared" si="25"/>
        <v>0.33333333333333331</v>
      </c>
      <c r="CK65" s="2943">
        <f t="shared" si="25"/>
        <v>0</v>
      </c>
      <c r="CL65" s="2943">
        <f t="shared" si="25"/>
        <v>0</v>
      </c>
      <c r="CM65" s="2943">
        <f t="shared" si="25"/>
        <v>0</v>
      </c>
      <c r="CN65" s="2943">
        <f t="shared" si="24"/>
        <v>0</v>
      </c>
      <c r="CO65" s="2943">
        <f t="shared" si="24"/>
        <v>0</v>
      </c>
      <c r="CP65" s="2943">
        <f t="shared" si="24"/>
        <v>0</v>
      </c>
      <c r="CQ65" s="2967">
        <f t="shared" si="24"/>
        <v>0</v>
      </c>
      <c r="CR65" s="2943">
        <f t="shared" si="24"/>
        <v>0.33333333333333331</v>
      </c>
      <c r="CS65" s="2943">
        <f t="shared" si="24"/>
        <v>0</v>
      </c>
      <c r="CT65" s="2947">
        <f t="shared" si="9"/>
        <v>1</v>
      </c>
      <c r="CU65" s="2943">
        <f t="shared" si="9"/>
        <v>0.5</v>
      </c>
      <c r="CV65" s="2943">
        <f t="shared" si="9"/>
        <v>0</v>
      </c>
      <c r="CW65" s="2445"/>
      <c r="CX65" s="1940" t="s">
        <v>3515</v>
      </c>
      <c r="CY65" s="1944" t="s">
        <v>2107</v>
      </c>
      <c r="CZ65" s="1945" t="s">
        <v>2108</v>
      </c>
      <c r="DA65" s="2945">
        <f t="shared" si="11"/>
        <v>0.33333333333333331</v>
      </c>
      <c r="DB65" s="2945"/>
      <c r="DC65" s="2945"/>
      <c r="DD65" s="2945"/>
      <c r="DE65" s="2945"/>
      <c r="DF65" s="2945"/>
      <c r="DG65" s="2945"/>
      <c r="DH65" s="2968"/>
      <c r="DI65" s="2945"/>
      <c r="DJ65" s="2945"/>
      <c r="DK65" s="2949"/>
      <c r="DL65" s="2945"/>
      <c r="DM65" s="2945"/>
    </row>
    <row r="66" spans="1:117">
      <c r="B66" s="1914" t="str">
        <f t="shared" si="23"/>
        <v>1.1.2</v>
      </c>
      <c r="C66" s="1937" t="str">
        <f t="shared" si="18"/>
        <v>高度情報通信設備対応</v>
      </c>
      <c r="D66" s="1927">
        <f t="shared" si="33"/>
        <v>0.32808398950131235</v>
      </c>
      <c r="E66" s="1939">
        <f t="shared" si="33"/>
        <v>1</v>
      </c>
      <c r="G66" s="1939">
        <f t="shared" si="19"/>
        <v>0.32808398950131235</v>
      </c>
      <c r="H66" s="1939">
        <f t="shared" si="20"/>
        <v>1.5748031496062992E-2</v>
      </c>
      <c r="I66" s="1939"/>
      <c r="J66" s="1939"/>
      <c r="K66" s="1939">
        <f>IF(スコア!Q66=0,0,1)</f>
        <v>1</v>
      </c>
      <c r="L66" s="1939">
        <f>IF(スコア!T66=0,0,1)</f>
        <v>1</v>
      </c>
      <c r="M66" s="1939">
        <f t="shared" si="21"/>
        <v>0.32808398950131235</v>
      </c>
      <c r="N66" s="1939">
        <f t="shared" si="22"/>
        <v>1.5748031496062992E-2</v>
      </c>
      <c r="P66" s="1940" t="str">
        <f t="shared" si="32"/>
        <v>1.1.2</v>
      </c>
      <c r="Q66" s="1940" t="str">
        <f t="shared" si="32"/>
        <v xml:space="preserve"> Q2 1.1</v>
      </c>
      <c r="R66" s="1941" t="str">
        <f t="shared" si="32"/>
        <v>高度情報通信設備対応</v>
      </c>
      <c r="S66" s="1942">
        <f t="shared" si="31"/>
        <v>0.33333333333333331</v>
      </c>
      <c r="T66" s="1942">
        <f t="shared" si="31"/>
        <v>0</v>
      </c>
      <c r="U66" s="1942">
        <f t="shared" si="31"/>
        <v>0</v>
      </c>
      <c r="V66" s="1942">
        <f t="shared" si="31"/>
        <v>0</v>
      </c>
      <c r="W66" s="1942">
        <f t="shared" si="31"/>
        <v>0</v>
      </c>
      <c r="X66" s="1942">
        <f t="shared" si="31"/>
        <v>0</v>
      </c>
      <c r="Y66" s="1942">
        <f t="shared" si="31"/>
        <v>0</v>
      </c>
      <c r="Z66" s="1960">
        <f t="shared" si="31"/>
        <v>0</v>
      </c>
      <c r="AA66" s="1942">
        <f t="shared" si="31"/>
        <v>0.33333333333333331</v>
      </c>
      <c r="AB66" s="1942">
        <f t="shared" si="31"/>
        <v>0</v>
      </c>
      <c r="AC66" s="1943">
        <f t="shared" si="31"/>
        <v>0</v>
      </c>
      <c r="AD66" s="1942">
        <f t="shared" si="31"/>
        <v>0.5</v>
      </c>
      <c r="AE66" s="1942">
        <f t="shared" si="31"/>
        <v>1</v>
      </c>
      <c r="AG66" s="1940" t="s">
        <v>2241</v>
      </c>
      <c r="AH66" s="1944" t="s">
        <v>2107</v>
      </c>
      <c r="AI66" s="1945" t="s">
        <v>2242</v>
      </c>
      <c r="AJ66" s="1985">
        <v>0.33333333333333331</v>
      </c>
      <c r="AK66" s="1942"/>
      <c r="AL66" s="1942"/>
      <c r="AM66" s="1942"/>
      <c r="AN66" s="1942"/>
      <c r="AO66" s="1942"/>
      <c r="AP66" s="1942"/>
      <c r="AQ66" s="1960"/>
      <c r="AR66" s="1985">
        <v>0.33333333333333331</v>
      </c>
      <c r="AS66" s="1964"/>
      <c r="AT66" s="1948"/>
      <c r="AU66" s="1947">
        <v>0.5</v>
      </c>
      <c r="AV66" s="1947">
        <v>1</v>
      </c>
      <c r="AX66" s="1940" t="s">
        <v>2241</v>
      </c>
      <c r="AY66" s="1944" t="s">
        <v>2107</v>
      </c>
      <c r="AZ66" s="1945" t="s">
        <v>2242</v>
      </c>
      <c r="BA66" s="1947">
        <v>0.33333333333333331</v>
      </c>
      <c r="BB66" s="1947"/>
      <c r="BC66" s="1947"/>
      <c r="BD66" s="1947"/>
      <c r="BE66" s="1947"/>
      <c r="BF66" s="1947"/>
      <c r="BG66" s="1947"/>
      <c r="BH66" s="1954"/>
      <c r="BI66" s="1947">
        <v>0.33333333333333331</v>
      </c>
      <c r="BJ66" s="1947"/>
      <c r="BK66" s="1948"/>
      <c r="BL66" s="1947">
        <v>0.5</v>
      </c>
      <c r="BM66" s="1947">
        <v>1</v>
      </c>
      <c r="BO66" s="1940" t="s">
        <v>772</v>
      </c>
      <c r="BP66" s="1944" t="s">
        <v>2107</v>
      </c>
      <c r="BQ66" s="1945" t="s">
        <v>3653</v>
      </c>
      <c r="BR66" s="1947">
        <v>0.33333333333333331</v>
      </c>
      <c r="BS66" s="1947"/>
      <c r="BT66" s="1947"/>
      <c r="BU66" s="1947"/>
      <c r="BV66" s="1947"/>
      <c r="BW66" s="1947"/>
      <c r="BX66" s="1947"/>
      <c r="BY66" s="1954"/>
      <c r="BZ66" s="1947">
        <v>0.33333333333333331</v>
      </c>
      <c r="CA66" s="1947"/>
      <c r="CB66" s="1948"/>
      <c r="CC66" s="1947">
        <v>0.5</v>
      </c>
      <c r="CD66" s="1947">
        <v>1</v>
      </c>
      <c r="CE66" s="2302"/>
      <c r="CG66" s="1940" t="s">
        <v>3516</v>
      </c>
      <c r="CH66" s="1944" t="s">
        <v>2107</v>
      </c>
      <c r="CI66" s="1945" t="s">
        <v>3517</v>
      </c>
      <c r="CJ66" s="2943">
        <f t="shared" si="25"/>
        <v>0.33333333333333331</v>
      </c>
      <c r="CK66" s="2943">
        <f t="shared" si="25"/>
        <v>0</v>
      </c>
      <c r="CL66" s="2943">
        <f t="shared" si="25"/>
        <v>0</v>
      </c>
      <c r="CM66" s="2943">
        <f t="shared" si="25"/>
        <v>0</v>
      </c>
      <c r="CN66" s="2943">
        <f t="shared" si="24"/>
        <v>0</v>
      </c>
      <c r="CO66" s="2943">
        <f t="shared" si="24"/>
        <v>0</v>
      </c>
      <c r="CP66" s="2943">
        <f t="shared" si="24"/>
        <v>0</v>
      </c>
      <c r="CQ66" s="2967">
        <f t="shared" si="24"/>
        <v>0</v>
      </c>
      <c r="CR66" s="2943">
        <f t="shared" si="24"/>
        <v>0.33333333333333331</v>
      </c>
      <c r="CS66" s="2943">
        <f t="shared" si="24"/>
        <v>0</v>
      </c>
      <c r="CT66" s="2947">
        <f t="shared" si="9"/>
        <v>0</v>
      </c>
      <c r="CU66" s="2943">
        <f t="shared" si="9"/>
        <v>0.5</v>
      </c>
      <c r="CV66" s="2943">
        <f t="shared" si="9"/>
        <v>1</v>
      </c>
      <c r="CW66" s="2445"/>
      <c r="CX66" s="1940" t="s">
        <v>3518</v>
      </c>
      <c r="CY66" s="1944" t="s">
        <v>2107</v>
      </c>
      <c r="CZ66" s="1945" t="s">
        <v>3517</v>
      </c>
      <c r="DA66" s="2945">
        <f t="shared" si="11"/>
        <v>0.33333333333333331</v>
      </c>
      <c r="DB66" s="2945"/>
      <c r="DC66" s="2945"/>
      <c r="DD66" s="2945"/>
      <c r="DE66" s="2945"/>
      <c r="DF66" s="2945"/>
      <c r="DG66" s="2945"/>
      <c r="DH66" s="2968"/>
      <c r="DI66" s="2945"/>
      <c r="DJ66" s="2945"/>
      <c r="DK66" s="2949"/>
      <c r="DL66" s="2945"/>
      <c r="DM66" s="2945"/>
    </row>
    <row r="67" spans="1:117">
      <c r="B67" s="1914" t="str">
        <f t="shared" si="23"/>
        <v>1.1.3</v>
      </c>
      <c r="C67" s="1937" t="str">
        <f t="shared" si="18"/>
        <v>バリアフリー計画</v>
      </c>
      <c r="D67" s="1927">
        <f t="shared" si="33"/>
        <v>0.34383202099737531</v>
      </c>
      <c r="E67" s="1939">
        <f t="shared" si="33"/>
        <v>0</v>
      </c>
      <c r="G67" s="1939">
        <f t="shared" si="19"/>
        <v>0.34383202099737531</v>
      </c>
      <c r="H67" s="1939">
        <f t="shared" si="20"/>
        <v>0</v>
      </c>
      <c r="I67" s="1939"/>
      <c r="J67" s="1939"/>
      <c r="K67" s="1939">
        <f>IF(スコア!Q67=0,0,1)</f>
        <v>1</v>
      </c>
      <c r="L67" s="1939">
        <f>IF(スコア!T67=0,0,1)</f>
        <v>0</v>
      </c>
      <c r="M67" s="1939">
        <f t="shared" si="21"/>
        <v>0.34383202099737531</v>
      </c>
      <c r="N67" s="1939">
        <f t="shared" si="22"/>
        <v>0</v>
      </c>
      <c r="P67" s="1940" t="str">
        <f t="shared" si="32"/>
        <v>1.1.3</v>
      </c>
      <c r="Q67" s="1940" t="str">
        <f t="shared" si="32"/>
        <v xml:space="preserve"> Q2 1.1</v>
      </c>
      <c r="R67" s="1941" t="str">
        <f t="shared" si="32"/>
        <v>バリアフリー計画</v>
      </c>
      <c r="S67" s="1942">
        <f t="shared" si="31"/>
        <v>0.33333333333333331</v>
      </c>
      <c r="T67" s="1942">
        <f t="shared" si="31"/>
        <v>1</v>
      </c>
      <c r="U67" s="1942">
        <f t="shared" si="31"/>
        <v>1</v>
      </c>
      <c r="V67" s="1942">
        <f t="shared" si="31"/>
        <v>1</v>
      </c>
      <c r="W67" s="1942">
        <f t="shared" si="31"/>
        <v>1</v>
      </c>
      <c r="X67" s="1942">
        <f t="shared" si="31"/>
        <v>1</v>
      </c>
      <c r="Y67" s="1942">
        <f t="shared" si="31"/>
        <v>1</v>
      </c>
      <c r="Z67" s="1960">
        <f t="shared" si="31"/>
        <v>1</v>
      </c>
      <c r="AA67" s="1942">
        <f t="shared" si="31"/>
        <v>0.33333333333333331</v>
      </c>
      <c r="AB67" s="1942">
        <f t="shared" si="31"/>
        <v>1</v>
      </c>
      <c r="AC67" s="1943">
        <f t="shared" si="31"/>
        <v>0</v>
      </c>
      <c r="AD67" s="1942">
        <f t="shared" si="31"/>
        <v>0</v>
      </c>
      <c r="AE67" s="1942">
        <f t="shared" si="31"/>
        <v>0</v>
      </c>
      <c r="AG67" s="1940" t="s">
        <v>2243</v>
      </c>
      <c r="AH67" s="1944" t="s">
        <v>2107</v>
      </c>
      <c r="AI67" s="1945" t="s">
        <v>2109</v>
      </c>
      <c r="AJ67" s="1985">
        <v>0.33333333333333331</v>
      </c>
      <c r="AK67" s="1942">
        <v>1</v>
      </c>
      <c r="AL67" s="1942">
        <v>1</v>
      </c>
      <c r="AM67" s="1942">
        <v>1</v>
      </c>
      <c r="AN67" s="1942">
        <v>1</v>
      </c>
      <c r="AO67" s="1942">
        <v>1</v>
      </c>
      <c r="AP67" s="1942">
        <v>1</v>
      </c>
      <c r="AQ67" s="1960">
        <v>1</v>
      </c>
      <c r="AR67" s="1985">
        <v>0.33333333333333331</v>
      </c>
      <c r="AS67" s="1964">
        <v>0.5</v>
      </c>
      <c r="AT67" s="1948"/>
      <c r="AU67" s="1947"/>
      <c r="AV67" s="1947"/>
      <c r="AX67" s="1940" t="s">
        <v>2243</v>
      </c>
      <c r="AY67" s="1944" t="s">
        <v>2107</v>
      </c>
      <c r="AZ67" s="1945" t="s">
        <v>2109</v>
      </c>
      <c r="BA67" s="1947">
        <v>0.33333333333333331</v>
      </c>
      <c r="BB67" s="1947">
        <v>1</v>
      </c>
      <c r="BC67" s="1947">
        <v>1</v>
      </c>
      <c r="BD67" s="1947">
        <v>1</v>
      </c>
      <c r="BE67" s="1947">
        <v>1</v>
      </c>
      <c r="BF67" s="1947">
        <v>1</v>
      </c>
      <c r="BG67" s="1947">
        <v>1</v>
      </c>
      <c r="BH67" s="1954">
        <v>1</v>
      </c>
      <c r="BI67" s="1947">
        <v>0.33333333333333331</v>
      </c>
      <c r="BJ67" s="1947">
        <v>0.5</v>
      </c>
      <c r="BK67" s="1948"/>
      <c r="BL67" s="1947"/>
      <c r="BM67" s="1947"/>
      <c r="BO67" s="1940" t="s">
        <v>3693</v>
      </c>
      <c r="BP67" s="1944" t="s">
        <v>2107</v>
      </c>
      <c r="BQ67" s="1945" t="s">
        <v>2109</v>
      </c>
      <c r="BR67" s="1947">
        <v>0.33333333333333331</v>
      </c>
      <c r="BS67" s="1947">
        <v>1</v>
      </c>
      <c r="BT67" s="1947">
        <v>1</v>
      </c>
      <c r="BU67" s="1947">
        <v>1</v>
      </c>
      <c r="BV67" s="1947">
        <v>1</v>
      </c>
      <c r="BW67" s="1947">
        <v>1</v>
      </c>
      <c r="BX67" s="1947">
        <v>1</v>
      </c>
      <c r="BY67" s="1954">
        <v>1</v>
      </c>
      <c r="BZ67" s="1947">
        <v>0.33333333333333331</v>
      </c>
      <c r="CA67" s="1947">
        <v>1</v>
      </c>
      <c r="CB67" s="1948"/>
      <c r="CC67" s="1947"/>
      <c r="CD67" s="1947"/>
      <c r="CE67" s="2302"/>
      <c r="CG67" s="1940" t="s">
        <v>3519</v>
      </c>
      <c r="CH67" s="1944" t="s">
        <v>2107</v>
      </c>
      <c r="CI67" s="1945" t="s">
        <v>2109</v>
      </c>
      <c r="CJ67" s="2943">
        <f t="shared" si="25"/>
        <v>0.33333333333333331</v>
      </c>
      <c r="CK67" s="2943">
        <f t="shared" si="25"/>
        <v>1</v>
      </c>
      <c r="CL67" s="2943">
        <f t="shared" si="25"/>
        <v>1</v>
      </c>
      <c r="CM67" s="2943">
        <f t="shared" si="25"/>
        <v>1</v>
      </c>
      <c r="CN67" s="2943">
        <f t="shared" si="24"/>
        <v>1</v>
      </c>
      <c r="CO67" s="2943">
        <f t="shared" si="24"/>
        <v>1</v>
      </c>
      <c r="CP67" s="2943">
        <f t="shared" si="24"/>
        <v>1</v>
      </c>
      <c r="CQ67" s="2967">
        <f t="shared" si="24"/>
        <v>1</v>
      </c>
      <c r="CR67" s="2943">
        <f t="shared" si="24"/>
        <v>0.33333333333333331</v>
      </c>
      <c r="CS67" s="2943">
        <f t="shared" si="24"/>
        <v>1</v>
      </c>
      <c r="CT67" s="2947">
        <f t="shared" si="9"/>
        <v>0</v>
      </c>
      <c r="CU67" s="2943">
        <f t="shared" si="9"/>
        <v>0</v>
      </c>
      <c r="CV67" s="2943">
        <f t="shared" si="9"/>
        <v>0</v>
      </c>
      <c r="CW67" s="2445"/>
      <c r="CX67" s="1940" t="s">
        <v>3519</v>
      </c>
      <c r="CY67" s="1944" t="s">
        <v>2107</v>
      </c>
      <c r="CZ67" s="1945" t="s">
        <v>2109</v>
      </c>
      <c r="DA67" s="2945">
        <f t="shared" si="11"/>
        <v>0.33333333333333331</v>
      </c>
      <c r="DB67" s="2945"/>
      <c r="DC67" s="2945"/>
      <c r="DD67" s="2945"/>
      <c r="DE67" s="2945"/>
      <c r="DF67" s="2945"/>
      <c r="DG67" s="2945"/>
      <c r="DH67" s="2968"/>
      <c r="DI67" s="2945"/>
      <c r="DJ67" s="2945"/>
      <c r="DK67" s="2949"/>
      <c r="DL67" s="2945"/>
      <c r="DM67" s="2945"/>
    </row>
    <row r="68" spans="1:117">
      <c r="B68" s="1914">
        <f t="shared" si="23"/>
        <v>1.2</v>
      </c>
      <c r="C68" s="1937" t="str">
        <f t="shared" si="18"/>
        <v>心理性・快適性</v>
      </c>
      <c r="D68" s="1938">
        <f>IF(I$63=0,0,G68/I$63)</f>
        <v>0.3</v>
      </c>
      <c r="E68" s="1939">
        <f>IF(J$63=0,0,H68/J$63)</f>
        <v>0.4</v>
      </c>
      <c r="G68" s="1939">
        <f t="shared" si="19"/>
        <v>0.3</v>
      </c>
      <c r="H68" s="1939">
        <f t="shared" si="20"/>
        <v>6.2992125984251968E-3</v>
      </c>
      <c r="I68" s="1939">
        <f>SUM(G69:G73)</f>
        <v>1</v>
      </c>
      <c r="J68" s="1939">
        <f>SUM(H69:H73)</f>
        <v>1.5748031496062992E-2</v>
      </c>
      <c r="K68" s="1939">
        <f>IF(スコア!Q68=0,0,1)</f>
        <v>1</v>
      </c>
      <c r="L68" s="1939">
        <f>IF(スコア!T68=0,0,1)</f>
        <v>1</v>
      </c>
      <c r="M68" s="1939">
        <f t="shared" si="21"/>
        <v>0.3</v>
      </c>
      <c r="N68" s="1939">
        <f t="shared" si="22"/>
        <v>6.2992125984251968E-3</v>
      </c>
      <c r="P68" s="1940">
        <f t="shared" si="32"/>
        <v>1.2</v>
      </c>
      <c r="Q68" s="1940" t="str">
        <f t="shared" si="32"/>
        <v xml:space="preserve"> Q2 1</v>
      </c>
      <c r="R68" s="1941" t="str">
        <f t="shared" si="32"/>
        <v>心理性・快適性</v>
      </c>
      <c r="S68" s="1942">
        <f t="shared" si="31"/>
        <v>0.3</v>
      </c>
      <c r="T68" s="1942">
        <f t="shared" si="31"/>
        <v>0.3</v>
      </c>
      <c r="U68" s="1942">
        <f t="shared" si="31"/>
        <v>0.3</v>
      </c>
      <c r="V68" s="1942">
        <f t="shared" si="31"/>
        <v>0.3</v>
      </c>
      <c r="W68" s="1942">
        <f t="shared" si="31"/>
        <v>0.3</v>
      </c>
      <c r="X68" s="1942">
        <f t="shared" si="31"/>
        <v>0.3</v>
      </c>
      <c r="Y68" s="1942">
        <f t="shared" si="31"/>
        <v>0.3</v>
      </c>
      <c r="Z68" s="1960">
        <f t="shared" si="31"/>
        <v>0.3</v>
      </c>
      <c r="AA68" s="1942">
        <f t="shared" si="31"/>
        <v>0.3</v>
      </c>
      <c r="AB68" s="1942">
        <f t="shared" si="31"/>
        <v>0.3</v>
      </c>
      <c r="AC68" s="1943">
        <f t="shared" si="31"/>
        <v>0.4</v>
      </c>
      <c r="AD68" s="1942">
        <f t="shared" si="31"/>
        <v>0.4</v>
      </c>
      <c r="AE68" s="1942">
        <f t="shared" si="31"/>
        <v>0.4</v>
      </c>
      <c r="AG68" s="1940">
        <v>1.2</v>
      </c>
      <c r="AH68" s="1944" t="s">
        <v>2105</v>
      </c>
      <c r="AI68" s="1945" t="s">
        <v>2176</v>
      </c>
      <c r="AJ68" s="1942">
        <v>0.3</v>
      </c>
      <c r="AK68" s="1942">
        <v>0.3</v>
      </c>
      <c r="AL68" s="1942">
        <v>0.3</v>
      </c>
      <c r="AM68" s="1946">
        <v>0.3</v>
      </c>
      <c r="AN68" s="1946">
        <v>0.3</v>
      </c>
      <c r="AO68" s="1942">
        <v>0.3</v>
      </c>
      <c r="AP68" s="1946">
        <v>0.3</v>
      </c>
      <c r="AQ68" s="1942">
        <v>0.3</v>
      </c>
      <c r="AR68" s="1946">
        <v>0.3</v>
      </c>
      <c r="AS68" s="1947">
        <v>0.3</v>
      </c>
      <c r="AT68" s="1947">
        <v>0.4</v>
      </c>
      <c r="AU68" s="1947">
        <v>0.4</v>
      </c>
      <c r="AV68" s="1947">
        <v>0.4</v>
      </c>
      <c r="AX68" s="1940">
        <v>1.2</v>
      </c>
      <c r="AY68" s="1944" t="s">
        <v>2105</v>
      </c>
      <c r="AZ68" s="1945" t="s">
        <v>2176</v>
      </c>
      <c r="BA68" s="1947">
        <v>0.3</v>
      </c>
      <c r="BB68" s="1947">
        <v>0.3</v>
      </c>
      <c r="BC68" s="1947">
        <v>0.3</v>
      </c>
      <c r="BD68" s="1947">
        <v>0.3</v>
      </c>
      <c r="BE68" s="1947">
        <v>0.3</v>
      </c>
      <c r="BF68" s="1947">
        <v>0.3</v>
      </c>
      <c r="BG68" s="1947">
        <v>0.3</v>
      </c>
      <c r="BH68" s="1954">
        <v>0.3</v>
      </c>
      <c r="BI68" s="1947">
        <v>0.3</v>
      </c>
      <c r="BJ68" s="1947">
        <v>0.3</v>
      </c>
      <c r="BK68" s="1947">
        <v>0.4</v>
      </c>
      <c r="BL68" s="1947">
        <v>0.4</v>
      </c>
      <c r="BM68" s="1947">
        <v>0.4</v>
      </c>
      <c r="BO68" s="1940">
        <v>1.2</v>
      </c>
      <c r="BP68" s="1944" t="s">
        <v>2105</v>
      </c>
      <c r="BQ68" s="1945" t="s">
        <v>3738</v>
      </c>
      <c r="BR68" s="1947">
        <v>0.3</v>
      </c>
      <c r="BS68" s="1947">
        <v>0.3</v>
      </c>
      <c r="BT68" s="1947">
        <v>0.3</v>
      </c>
      <c r="BU68" s="1947">
        <v>0.3</v>
      </c>
      <c r="BV68" s="1947">
        <v>0.3</v>
      </c>
      <c r="BW68" s="1947">
        <v>0.3</v>
      </c>
      <c r="BX68" s="1947">
        <v>0.3</v>
      </c>
      <c r="BY68" s="1954">
        <v>0.3</v>
      </c>
      <c r="BZ68" s="1947">
        <v>0.3</v>
      </c>
      <c r="CA68" s="1947">
        <v>0.3</v>
      </c>
      <c r="CB68" s="1947">
        <v>0.4</v>
      </c>
      <c r="CC68" s="1947">
        <v>0.4</v>
      </c>
      <c r="CD68" s="1947">
        <v>0.4</v>
      </c>
      <c r="CE68" s="2302"/>
      <c r="CG68" s="1940">
        <v>1.2</v>
      </c>
      <c r="CH68" s="1944" t="s">
        <v>2105</v>
      </c>
      <c r="CI68" s="1945" t="s">
        <v>2176</v>
      </c>
      <c r="CJ68" s="2943">
        <f t="shared" si="25"/>
        <v>0.3</v>
      </c>
      <c r="CK68" s="2943">
        <f t="shared" si="25"/>
        <v>0.3</v>
      </c>
      <c r="CL68" s="2943">
        <f t="shared" si="25"/>
        <v>0.3</v>
      </c>
      <c r="CM68" s="2943">
        <f t="shared" si="25"/>
        <v>0.3</v>
      </c>
      <c r="CN68" s="2943">
        <f t="shared" si="24"/>
        <v>0.3</v>
      </c>
      <c r="CO68" s="2943">
        <f t="shared" si="24"/>
        <v>0.3</v>
      </c>
      <c r="CP68" s="2943">
        <f t="shared" si="24"/>
        <v>0.3</v>
      </c>
      <c r="CQ68" s="2967">
        <f t="shared" si="24"/>
        <v>0.3</v>
      </c>
      <c r="CR68" s="2943">
        <f t="shared" si="24"/>
        <v>0.3</v>
      </c>
      <c r="CS68" s="2943">
        <f t="shared" si="24"/>
        <v>0.3</v>
      </c>
      <c r="CT68" s="2943">
        <f t="shared" si="9"/>
        <v>0.4</v>
      </c>
      <c r="CU68" s="2943">
        <f t="shared" si="9"/>
        <v>0.4</v>
      </c>
      <c r="CV68" s="2943">
        <f t="shared" si="9"/>
        <v>0.4</v>
      </c>
      <c r="CW68" s="2445"/>
      <c r="CX68" s="1940">
        <v>1.2</v>
      </c>
      <c r="CY68" s="1944" t="s">
        <v>2105</v>
      </c>
      <c r="CZ68" s="1945" t="s">
        <v>2176</v>
      </c>
      <c r="DA68" s="2969">
        <v>0.45</v>
      </c>
      <c r="DB68" s="2945"/>
      <c r="DC68" s="2945"/>
      <c r="DD68" s="2945"/>
      <c r="DE68" s="2945"/>
      <c r="DF68" s="2945"/>
      <c r="DG68" s="2945"/>
      <c r="DH68" s="2968"/>
      <c r="DI68" s="2945"/>
      <c r="DJ68" s="2945"/>
      <c r="DK68" s="2945"/>
      <c r="DL68" s="2945"/>
      <c r="DM68" s="2945"/>
    </row>
    <row r="69" spans="1:117">
      <c r="B69" s="1914" t="str">
        <f t="shared" si="23"/>
        <v>1.2.1</v>
      </c>
      <c r="C69" s="1937" t="str">
        <f t="shared" si="18"/>
        <v>広さ感・景観</v>
      </c>
      <c r="D69" s="1927">
        <f t="shared" ref="D69:E73" si="34">IF(I$68&gt;0,G69/I$68,0)</f>
        <v>0.32808398950131235</v>
      </c>
      <c r="E69" s="1939">
        <f t="shared" si="34"/>
        <v>0.5</v>
      </c>
      <c r="G69" s="1939">
        <f t="shared" si="19"/>
        <v>0.32808398950131235</v>
      </c>
      <c r="H69" s="1939">
        <f t="shared" si="20"/>
        <v>7.874015748031496E-3</v>
      </c>
      <c r="I69" s="1939"/>
      <c r="J69" s="1939"/>
      <c r="K69" s="1939">
        <f>IF(スコア!Q69=0,0,1)</f>
        <v>1</v>
      </c>
      <c r="L69" s="1939">
        <f>IF(スコア!T69=0,0,1)</f>
        <v>1</v>
      </c>
      <c r="M69" s="1939">
        <f t="shared" si="21"/>
        <v>0.32808398950131235</v>
      </c>
      <c r="N69" s="1939">
        <f t="shared" si="22"/>
        <v>7.874015748031496E-3</v>
      </c>
      <c r="P69" s="1940" t="str">
        <f t="shared" si="32"/>
        <v>1.2.1</v>
      </c>
      <c r="Q69" s="1940" t="str">
        <f t="shared" si="32"/>
        <v xml:space="preserve"> Q2 1.2</v>
      </c>
      <c r="R69" s="1941" t="str">
        <f t="shared" si="32"/>
        <v>広さ感・景観</v>
      </c>
      <c r="S69" s="1942">
        <f t="shared" si="31"/>
        <v>0.33333333333333331</v>
      </c>
      <c r="T69" s="1942">
        <f t="shared" si="31"/>
        <v>0.5</v>
      </c>
      <c r="U69" s="1942">
        <f t="shared" si="31"/>
        <v>0.33333333333333331</v>
      </c>
      <c r="V69" s="1942">
        <f t="shared" si="31"/>
        <v>0.5</v>
      </c>
      <c r="W69" s="1942">
        <f t="shared" si="31"/>
        <v>0</v>
      </c>
      <c r="X69" s="1942">
        <f t="shared" si="31"/>
        <v>0</v>
      </c>
      <c r="Y69" s="1942">
        <f t="shared" si="31"/>
        <v>0</v>
      </c>
      <c r="Z69" s="1960">
        <f t="shared" si="31"/>
        <v>0</v>
      </c>
      <c r="AA69" s="1942">
        <f t="shared" si="31"/>
        <v>0.33333333333333331</v>
      </c>
      <c r="AB69" s="1942">
        <f t="shared" si="31"/>
        <v>0.5</v>
      </c>
      <c r="AC69" s="1943">
        <f t="shared" si="31"/>
        <v>0.5</v>
      </c>
      <c r="AD69" s="1943">
        <f t="shared" si="31"/>
        <v>0.5</v>
      </c>
      <c r="AE69" s="1943">
        <f t="shared" si="31"/>
        <v>0.5</v>
      </c>
      <c r="AG69" s="1940" t="s">
        <v>2244</v>
      </c>
      <c r="AH69" s="1944" t="s">
        <v>2110</v>
      </c>
      <c r="AI69" s="1945" t="s">
        <v>2111</v>
      </c>
      <c r="AJ69" s="1985">
        <v>0.33333333333333331</v>
      </c>
      <c r="AK69" s="1942"/>
      <c r="AL69" s="1942"/>
      <c r="AM69" s="1942"/>
      <c r="AN69" s="1942"/>
      <c r="AO69" s="1942"/>
      <c r="AP69" s="1942"/>
      <c r="AQ69" s="1960"/>
      <c r="AR69" s="1942"/>
      <c r="AS69" s="1947"/>
      <c r="AT69" s="1948"/>
      <c r="AU69" s="1948"/>
      <c r="AV69" s="1948"/>
      <c r="AX69" s="1940" t="s">
        <v>2244</v>
      </c>
      <c r="AY69" s="1944" t="s">
        <v>2110</v>
      </c>
      <c r="AZ69" s="1945" t="s">
        <v>2111</v>
      </c>
      <c r="BA69" s="1947">
        <v>0.33333333333333331</v>
      </c>
      <c r="BB69" s="1947">
        <v>0.5</v>
      </c>
      <c r="BC69" s="1947">
        <v>0.33333333333333331</v>
      </c>
      <c r="BD69" s="1947">
        <v>0.5</v>
      </c>
      <c r="BE69" s="1947"/>
      <c r="BF69" s="1947"/>
      <c r="BG69" s="1947"/>
      <c r="BH69" s="1954"/>
      <c r="BI69" s="1947">
        <v>0.33333333333333331</v>
      </c>
      <c r="BJ69" s="1947">
        <v>0.5</v>
      </c>
      <c r="BK69" s="1948">
        <v>0.5</v>
      </c>
      <c r="BL69" s="1948">
        <v>0.5</v>
      </c>
      <c r="BM69" s="1948">
        <v>0.5</v>
      </c>
      <c r="BO69" s="1940" t="s">
        <v>3671</v>
      </c>
      <c r="BP69" s="1944" t="s">
        <v>2110</v>
      </c>
      <c r="BQ69" s="1945" t="s">
        <v>2111</v>
      </c>
      <c r="BR69" s="1947">
        <v>0.33333333333333331</v>
      </c>
      <c r="BS69" s="1947">
        <v>0.5</v>
      </c>
      <c r="BT69" s="1947">
        <v>0.33333333333333331</v>
      </c>
      <c r="BU69" s="1947">
        <v>0.5</v>
      </c>
      <c r="BV69" s="1947"/>
      <c r="BW69" s="1947"/>
      <c r="BX69" s="1947"/>
      <c r="BY69" s="1954"/>
      <c r="BZ69" s="1947">
        <v>0.33333333333333331</v>
      </c>
      <c r="CA69" s="1947">
        <v>0.5</v>
      </c>
      <c r="CB69" s="1948">
        <v>0.5</v>
      </c>
      <c r="CC69" s="1948">
        <v>0.5</v>
      </c>
      <c r="CD69" s="1948">
        <v>0.5</v>
      </c>
      <c r="CE69" s="2302"/>
      <c r="CG69" s="1940" t="s">
        <v>3481</v>
      </c>
      <c r="CH69" s="1944" t="s">
        <v>2110</v>
      </c>
      <c r="CI69" s="1945" t="s">
        <v>2111</v>
      </c>
      <c r="CJ69" s="2943">
        <f t="shared" si="25"/>
        <v>0.33333333333333331</v>
      </c>
      <c r="CK69" s="2943">
        <f t="shared" si="25"/>
        <v>0.5</v>
      </c>
      <c r="CL69" s="2943">
        <f t="shared" si="25"/>
        <v>0.33333333333333331</v>
      </c>
      <c r="CM69" s="2943">
        <f t="shared" si="25"/>
        <v>0.5</v>
      </c>
      <c r="CN69" s="2943">
        <f t="shared" si="24"/>
        <v>0</v>
      </c>
      <c r="CO69" s="2943">
        <f t="shared" si="24"/>
        <v>0</v>
      </c>
      <c r="CP69" s="2943">
        <f t="shared" si="24"/>
        <v>0</v>
      </c>
      <c r="CQ69" s="2967">
        <f t="shared" si="24"/>
        <v>0</v>
      </c>
      <c r="CR69" s="2943">
        <f t="shared" si="24"/>
        <v>0.33333333333333331</v>
      </c>
      <c r="CS69" s="2943">
        <f t="shared" si="24"/>
        <v>0.5</v>
      </c>
      <c r="CT69" s="2947">
        <f t="shared" si="9"/>
        <v>0.5</v>
      </c>
      <c r="CU69" s="2947">
        <f t="shared" si="9"/>
        <v>0.5</v>
      </c>
      <c r="CV69" s="2947">
        <f t="shared" si="9"/>
        <v>0.5</v>
      </c>
      <c r="CW69" s="2445"/>
      <c r="CX69" s="1940" t="s">
        <v>3481</v>
      </c>
      <c r="CY69" s="1944" t="s">
        <v>2110</v>
      </c>
      <c r="CZ69" s="2970" t="s">
        <v>3520</v>
      </c>
      <c r="DA69" s="2969">
        <v>0.15</v>
      </c>
      <c r="DB69" s="2945"/>
      <c r="DC69" s="2945"/>
      <c r="DD69" s="2945"/>
      <c r="DE69" s="2945"/>
      <c r="DF69" s="2945"/>
      <c r="DG69" s="2945"/>
      <c r="DH69" s="2968"/>
      <c r="DI69" s="2945"/>
      <c r="DJ69" s="2945"/>
      <c r="DK69" s="2949"/>
      <c r="DL69" s="2949"/>
      <c r="DM69" s="2949"/>
    </row>
    <row r="70" spans="1:117" hidden="1">
      <c r="A70" s="2445"/>
      <c r="B70" s="1914"/>
      <c r="C70" s="1937">
        <f t="shared" si="18"/>
        <v>0</v>
      </c>
      <c r="D70" s="1927">
        <f>IF(I$68&gt;0,G70/I$68,0)</f>
        <v>0</v>
      </c>
      <c r="E70" s="1939">
        <f>IF(J$68&gt;0,H70/J$68,0)</f>
        <v>0</v>
      </c>
      <c r="F70" s="2445"/>
      <c r="G70" s="1939">
        <f>K70*M70</f>
        <v>0</v>
      </c>
      <c r="H70" s="1939">
        <f t="shared" si="20"/>
        <v>0</v>
      </c>
      <c r="I70" s="1939"/>
      <c r="J70" s="1939"/>
      <c r="K70" s="1939"/>
      <c r="L70" s="1939"/>
      <c r="M70" s="1939">
        <f t="shared" si="21"/>
        <v>0</v>
      </c>
      <c r="N70" s="1939">
        <f t="shared" si="22"/>
        <v>0</v>
      </c>
      <c r="O70" s="2445"/>
      <c r="P70" s="1940">
        <f t="shared" si="32"/>
        <v>0</v>
      </c>
      <c r="Q70" s="1940">
        <f t="shared" si="32"/>
        <v>0</v>
      </c>
      <c r="R70" s="1941">
        <f t="shared" si="32"/>
        <v>0</v>
      </c>
      <c r="S70" s="1942">
        <f t="shared" si="31"/>
        <v>0</v>
      </c>
      <c r="T70" s="1942">
        <f t="shared" si="31"/>
        <v>0</v>
      </c>
      <c r="U70" s="1942">
        <f t="shared" si="31"/>
        <v>0</v>
      </c>
      <c r="V70" s="1942">
        <f t="shared" si="31"/>
        <v>0</v>
      </c>
      <c r="W70" s="1942">
        <f t="shared" si="31"/>
        <v>0</v>
      </c>
      <c r="X70" s="1942">
        <f t="shared" si="31"/>
        <v>0</v>
      </c>
      <c r="Y70" s="1942">
        <f t="shared" si="31"/>
        <v>0</v>
      </c>
      <c r="Z70" s="1960">
        <f t="shared" si="31"/>
        <v>0</v>
      </c>
      <c r="AA70" s="1942">
        <f t="shared" si="31"/>
        <v>0</v>
      </c>
      <c r="AB70" s="1942">
        <f t="shared" si="31"/>
        <v>0</v>
      </c>
      <c r="AC70" s="1943">
        <f t="shared" si="31"/>
        <v>0</v>
      </c>
      <c r="AD70" s="1943">
        <f t="shared" si="31"/>
        <v>0</v>
      </c>
      <c r="AE70" s="1943">
        <f t="shared" si="31"/>
        <v>0</v>
      </c>
      <c r="AF70" s="2445"/>
      <c r="AG70" s="1940"/>
      <c r="AH70" s="1944"/>
      <c r="AI70" s="1945"/>
      <c r="AJ70" s="1985"/>
      <c r="AK70" s="1942"/>
      <c r="AL70" s="1942"/>
      <c r="AM70" s="1942"/>
      <c r="AN70" s="1942"/>
      <c r="AO70" s="1942"/>
      <c r="AP70" s="1942"/>
      <c r="AQ70" s="1960"/>
      <c r="AR70" s="1942"/>
      <c r="AS70" s="1947"/>
      <c r="AT70" s="1948"/>
      <c r="AU70" s="1948"/>
      <c r="AV70" s="1948"/>
      <c r="AW70" s="2445"/>
      <c r="AX70" s="1940"/>
      <c r="AY70" s="1944"/>
      <c r="AZ70" s="1945"/>
      <c r="BA70" s="1947"/>
      <c r="BB70" s="1947"/>
      <c r="BC70" s="1947"/>
      <c r="BD70" s="1947"/>
      <c r="BE70" s="1947"/>
      <c r="BF70" s="1947"/>
      <c r="BG70" s="1947"/>
      <c r="BH70" s="1954"/>
      <c r="BI70" s="1947"/>
      <c r="BJ70" s="1947"/>
      <c r="BK70" s="1948"/>
      <c r="BL70" s="1948"/>
      <c r="BM70" s="1948"/>
      <c r="BN70" s="2445"/>
      <c r="BO70" s="1940"/>
      <c r="BP70" s="1944"/>
      <c r="BQ70" s="1945"/>
      <c r="BR70" s="1947"/>
      <c r="BS70" s="1947"/>
      <c r="BT70" s="1947"/>
      <c r="BU70" s="1947"/>
      <c r="BV70" s="1947"/>
      <c r="BW70" s="1947"/>
      <c r="BX70" s="1947"/>
      <c r="BY70" s="1954"/>
      <c r="BZ70" s="1947"/>
      <c r="CA70" s="1947"/>
      <c r="CB70" s="1948"/>
      <c r="CC70" s="1948"/>
      <c r="CD70" s="1948"/>
      <c r="CE70" s="2302"/>
      <c r="CF70" s="2445"/>
      <c r="CG70" s="1940"/>
      <c r="CH70" s="1944"/>
      <c r="CI70" s="1945"/>
      <c r="CJ70" s="2943"/>
      <c r="CK70" s="2943"/>
      <c r="CL70" s="2943"/>
      <c r="CM70" s="2943"/>
      <c r="CN70" s="2943"/>
      <c r="CO70" s="2943"/>
      <c r="CP70" s="2943"/>
      <c r="CQ70" s="2967"/>
      <c r="CR70" s="2943"/>
      <c r="CS70" s="2943"/>
      <c r="CT70" s="2947"/>
      <c r="CU70" s="2947"/>
      <c r="CV70" s="2947"/>
      <c r="CW70" s="2445"/>
      <c r="CX70" s="1940" t="s">
        <v>3521</v>
      </c>
      <c r="CY70" s="1944" t="s">
        <v>2110</v>
      </c>
      <c r="CZ70" s="2970" t="s">
        <v>3522</v>
      </c>
      <c r="DA70" s="2969">
        <v>0.15</v>
      </c>
      <c r="DB70" s="2945"/>
      <c r="DC70" s="2945"/>
      <c r="DD70" s="2945"/>
      <c r="DE70" s="2945"/>
      <c r="DF70" s="2945"/>
      <c r="DG70" s="2945"/>
      <c r="DH70" s="2968"/>
      <c r="DI70" s="2945"/>
      <c r="DJ70" s="2945"/>
      <c r="DK70" s="2949"/>
      <c r="DL70" s="2949"/>
      <c r="DM70" s="2949"/>
    </row>
    <row r="71" spans="1:117">
      <c r="B71" s="1914" t="str">
        <f t="shared" si="23"/>
        <v>1.2.2</v>
      </c>
      <c r="C71" s="1937" t="str">
        <f t="shared" si="18"/>
        <v>リフレッシュスペース</v>
      </c>
      <c r="D71" s="1927">
        <f t="shared" si="34"/>
        <v>0.32808398950131235</v>
      </c>
      <c r="E71" s="1939">
        <f t="shared" si="34"/>
        <v>0</v>
      </c>
      <c r="G71" s="1939">
        <f t="shared" si="19"/>
        <v>0.32808398950131235</v>
      </c>
      <c r="H71" s="1939">
        <f t="shared" si="20"/>
        <v>0</v>
      </c>
      <c r="I71" s="1939"/>
      <c r="J71" s="1939"/>
      <c r="K71" s="1939">
        <f>IF(スコア!Q71=0,0,1)</f>
        <v>1</v>
      </c>
      <c r="L71" s="1939">
        <f>IF(スコア!T71=0,0,1)</f>
        <v>0</v>
      </c>
      <c r="M71" s="1939">
        <f t="shared" si="21"/>
        <v>0.32808398950131235</v>
      </c>
      <c r="N71" s="1939">
        <f t="shared" si="22"/>
        <v>0</v>
      </c>
      <c r="P71" s="1940" t="str">
        <f t="shared" si="32"/>
        <v>1.2.2</v>
      </c>
      <c r="Q71" s="1940" t="str">
        <f t="shared" si="32"/>
        <v xml:space="preserve"> Q2 1.2</v>
      </c>
      <c r="R71" s="1941" t="str">
        <f t="shared" si="32"/>
        <v>リフレッシュスペース</v>
      </c>
      <c r="S71" s="1942">
        <f t="shared" si="31"/>
        <v>0.33333333333333331</v>
      </c>
      <c r="T71" s="1942">
        <f t="shared" si="31"/>
        <v>0</v>
      </c>
      <c r="U71" s="1942">
        <f t="shared" si="31"/>
        <v>0.33333333333333331</v>
      </c>
      <c r="V71" s="1942">
        <f t="shared" si="31"/>
        <v>0</v>
      </c>
      <c r="W71" s="1942">
        <f t="shared" si="31"/>
        <v>0</v>
      </c>
      <c r="X71" s="1942">
        <f t="shared" si="31"/>
        <v>0</v>
      </c>
      <c r="Y71" s="1942">
        <f t="shared" si="31"/>
        <v>0</v>
      </c>
      <c r="Z71" s="1960">
        <f t="shared" si="31"/>
        <v>0</v>
      </c>
      <c r="AA71" s="1942">
        <f t="shared" si="31"/>
        <v>0.33333333333333331</v>
      </c>
      <c r="AB71" s="1942">
        <f t="shared" si="31"/>
        <v>0</v>
      </c>
      <c r="AC71" s="1943">
        <f t="shared" si="31"/>
        <v>0</v>
      </c>
      <c r="AD71" s="1943">
        <f t="shared" si="31"/>
        <v>0</v>
      </c>
      <c r="AE71" s="1943">
        <f t="shared" si="31"/>
        <v>0</v>
      </c>
      <c r="AG71" s="1940" t="s">
        <v>2245</v>
      </c>
      <c r="AH71" s="1944" t="s">
        <v>2110</v>
      </c>
      <c r="AI71" s="1945" t="s">
        <v>2112</v>
      </c>
      <c r="AJ71" s="1985">
        <v>0.33333333333333331</v>
      </c>
      <c r="AK71" s="1942"/>
      <c r="AL71" s="1942">
        <v>0.5</v>
      </c>
      <c r="AM71" s="1942"/>
      <c r="AN71" s="1942"/>
      <c r="AO71" s="1942"/>
      <c r="AP71" s="1942"/>
      <c r="AQ71" s="1960"/>
      <c r="AR71" s="1942"/>
      <c r="AS71" s="1947"/>
      <c r="AT71" s="1948"/>
      <c r="AU71" s="1948"/>
      <c r="AV71" s="1948"/>
      <c r="AX71" s="1940" t="s">
        <v>2245</v>
      </c>
      <c r="AY71" s="1944" t="s">
        <v>2110</v>
      </c>
      <c r="AZ71" s="1945" t="s">
        <v>2112</v>
      </c>
      <c r="BA71" s="1947">
        <v>0.33333333333333331</v>
      </c>
      <c r="BB71" s="1947">
        <v>0</v>
      </c>
      <c r="BC71" s="1947">
        <v>0.33333333333333331</v>
      </c>
      <c r="BD71" s="1947"/>
      <c r="BE71" s="1947"/>
      <c r="BF71" s="1947"/>
      <c r="BG71" s="1947"/>
      <c r="BH71" s="1954"/>
      <c r="BI71" s="1947">
        <v>0.33333333333333331</v>
      </c>
      <c r="BJ71" s="1947">
        <v>0</v>
      </c>
      <c r="BK71" s="1948"/>
      <c r="BL71" s="1948"/>
      <c r="BM71" s="1948"/>
      <c r="BO71" s="1940" t="s">
        <v>3521</v>
      </c>
      <c r="BP71" s="1944" t="s">
        <v>2110</v>
      </c>
      <c r="BQ71" s="1945" t="s">
        <v>2112</v>
      </c>
      <c r="BR71" s="1947">
        <v>0.33333333333333331</v>
      </c>
      <c r="BS71" s="1947"/>
      <c r="BT71" s="1947">
        <v>0.33333333333333331</v>
      </c>
      <c r="BU71" s="1947"/>
      <c r="BV71" s="1947"/>
      <c r="BW71" s="1947"/>
      <c r="BX71" s="1947"/>
      <c r="BY71" s="1954"/>
      <c r="BZ71" s="1947">
        <v>0.33333333333333331</v>
      </c>
      <c r="CA71" s="1947"/>
      <c r="CB71" s="1948"/>
      <c r="CC71" s="1948"/>
      <c r="CD71" s="1948"/>
      <c r="CE71" s="2302"/>
      <c r="CG71" s="1940" t="s">
        <v>3523</v>
      </c>
      <c r="CH71" s="1944" t="s">
        <v>2110</v>
      </c>
      <c r="CI71" s="1945" t="s">
        <v>2112</v>
      </c>
      <c r="CJ71" s="2943">
        <f t="shared" si="25"/>
        <v>0.33333333333333331</v>
      </c>
      <c r="CK71" s="2943">
        <f t="shared" si="25"/>
        <v>0</v>
      </c>
      <c r="CL71" s="2943">
        <f t="shared" si="25"/>
        <v>0.33333333333333331</v>
      </c>
      <c r="CM71" s="2943">
        <f t="shared" si="25"/>
        <v>0</v>
      </c>
      <c r="CN71" s="2943">
        <f t="shared" si="24"/>
        <v>0</v>
      </c>
      <c r="CO71" s="2943">
        <f t="shared" si="24"/>
        <v>0</v>
      </c>
      <c r="CP71" s="2943">
        <f t="shared" si="24"/>
        <v>0</v>
      </c>
      <c r="CQ71" s="2967">
        <f t="shared" si="24"/>
        <v>0</v>
      </c>
      <c r="CR71" s="2943">
        <f t="shared" si="24"/>
        <v>0.33333333333333331</v>
      </c>
      <c r="CS71" s="2943">
        <f t="shared" si="24"/>
        <v>0</v>
      </c>
      <c r="CT71" s="2947">
        <f t="shared" si="9"/>
        <v>0</v>
      </c>
      <c r="CU71" s="2947">
        <f t="shared" si="9"/>
        <v>0</v>
      </c>
      <c r="CV71" s="2947">
        <f t="shared" si="9"/>
        <v>0</v>
      </c>
      <c r="CW71" s="2445"/>
      <c r="CX71" s="1940" t="s">
        <v>3524</v>
      </c>
      <c r="CY71" s="1944" t="s">
        <v>2110</v>
      </c>
      <c r="CZ71" s="1945" t="s">
        <v>2112</v>
      </c>
      <c r="DA71" s="2969">
        <v>0.25</v>
      </c>
      <c r="DB71" s="2945"/>
      <c r="DC71" s="2945"/>
      <c r="DD71" s="2945"/>
      <c r="DE71" s="2945"/>
      <c r="DF71" s="2945"/>
      <c r="DG71" s="2945"/>
      <c r="DH71" s="2968"/>
      <c r="DI71" s="2945"/>
      <c r="DJ71" s="2945"/>
      <c r="DK71" s="2949"/>
      <c r="DL71" s="2949"/>
      <c r="DM71" s="2949"/>
    </row>
    <row r="72" spans="1:117">
      <c r="B72" s="1914" t="str">
        <f t="shared" si="23"/>
        <v>1.2.3</v>
      </c>
      <c r="C72" s="1937" t="str">
        <f t="shared" si="18"/>
        <v>内装計画</v>
      </c>
      <c r="D72" s="1927">
        <f t="shared" si="34"/>
        <v>0.34383202099737531</v>
      </c>
      <c r="E72" s="1939">
        <f t="shared" si="34"/>
        <v>0.5</v>
      </c>
      <c r="G72" s="1939">
        <f t="shared" si="19"/>
        <v>0.34383202099737531</v>
      </c>
      <c r="H72" s="1939">
        <f t="shared" si="20"/>
        <v>7.874015748031496E-3</v>
      </c>
      <c r="I72" s="1939"/>
      <c r="J72" s="1939"/>
      <c r="K72" s="1939">
        <f>IF(スコア!Q72=0,0,1)</f>
        <v>1</v>
      </c>
      <c r="L72" s="1939">
        <f>IF(スコア!T72=0,0,1)</f>
        <v>1</v>
      </c>
      <c r="M72" s="1939">
        <f t="shared" si="21"/>
        <v>0.34383202099737531</v>
      </c>
      <c r="N72" s="1939">
        <f t="shared" si="22"/>
        <v>7.874015748031496E-3</v>
      </c>
      <c r="P72" s="1940" t="str">
        <f t="shared" si="32"/>
        <v>1.2.3</v>
      </c>
      <c r="Q72" s="1940" t="str">
        <f t="shared" si="32"/>
        <v xml:space="preserve"> Q2 1.2</v>
      </c>
      <c r="R72" s="1941" t="str">
        <f t="shared" si="32"/>
        <v>内装計画</v>
      </c>
      <c r="S72" s="1942">
        <f t="shared" si="31"/>
        <v>0.33333333333333331</v>
      </c>
      <c r="T72" s="1942">
        <f t="shared" si="31"/>
        <v>0.5</v>
      </c>
      <c r="U72" s="1942">
        <f t="shared" si="31"/>
        <v>0.33333333333333331</v>
      </c>
      <c r="V72" s="1942">
        <f t="shared" si="31"/>
        <v>0.5</v>
      </c>
      <c r="W72" s="1942">
        <f t="shared" si="31"/>
        <v>1</v>
      </c>
      <c r="X72" s="1942">
        <f t="shared" si="31"/>
        <v>1</v>
      </c>
      <c r="Y72" s="1942">
        <f t="shared" si="31"/>
        <v>1</v>
      </c>
      <c r="Z72" s="1960">
        <f t="shared" si="31"/>
        <v>1</v>
      </c>
      <c r="AA72" s="1942">
        <f t="shared" si="31"/>
        <v>0.33333333333333331</v>
      </c>
      <c r="AB72" s="1942">
        <f t="shared" si="31"/>
        <v>0.5</v>
      </c>
      <c r="AC72" s="1943">
        <f t="shared" si="31"/>
        <v>0.5</v>
      </c>
      <c r="AD72" s="1943">
        <f t="shared" si="31"/>
        <v>0.5</v>
      </c>
      <c r="AE72" s="1943">
        <f t="shared" si="31"/>
        <v>0.5</v>
      </c>
      <c r="AG72" s="1940" t="s">
        <v>2246</v>
      </c>
      <c r="AH72" s="1944" t="s">
        <v>2110</v>
      </c>
      <c r="AI72" s="1945" t="s">
        <v>2113</v>
      </c>
      <c r="AJ72" s="1985">
        <v>0.33333333333333331</v>
      </c>
      <c r="AK72" s="1942">
        <v>1</v>
      </c>
      <c r="AL72" s="1942">
        <v>0.5</v>
      </c>
      <c r="AM72" s="1942">
        <v>1</v>
      </c>
      <c r="AN72" s="1942">
        <v>1</v>
      </c>
      <c r="AO72" s="1942">
        <v>1</v>
      </c>
      <c r="AP72" s="1942">
        <v>1</v>
      </c>
      <c r="AQ72" s="1960">
        <v>1</v>
      </c>
      <c r="AR72" s="1942">
        <v>1</v>
      </c>
      <c r="AS72" s="1947">
        <v>1</v>
      </c>
      <c r="AT72" s="1948">
        <v>1</v>
      </c>
      <c r="AU72" s="1948">
        <v>1</v>
      </c>
      <c r="AV72" s="1948">
        <v>1</v>
      </c>
      <c r="AX72" s="1940" t="s">
        <v>2246</v>
      </c>
      <c r="AY72" s="1944" t="s">
        <v>2110</v>
      </c>
      <c r="AZ72" s="1945" t="s">
        <v>2113</v>
      </c>
      <c r="BA72" s="1947">
        <v>0.33333333333333331</v>
      </c>
      <c r="BB72" s="1947">
        <v>0.5</v>
      </c>
      <c r="BC72" s="1947">
        <v>0.33333333333333331</v>
      </c>
      <c r="BD72" s="1947">
        <v>0.5</v>
      </c>
      <c r="BE72" s="1947">
        <v>1</v>
      </c>
      <c r="BF72" s="1947">
        <v>1</v>
      </c>
      <c r="BG72" s="1947">
        <v>1</v>
      </c>
      <c r="BH72" s="1954">
        <v>1</v>
      </c>
      <c r="BI72" s="1947">
        <v>0.33333333333333331</v>
      </c>
      <c r="BJ72" s="1947">
        <v>0.5</v>
      </c>
      <c r="BK72" s="1948">
        <v>0.5</v>
      </c>
      <c r="BL72" s="1948">
        <v>0.5</v>
      </c>
      <c r="BM72" s="1948">
        <v>0.5</v>
      </c>
      <c r="BO72" s="1940" t="s">
        <v>3524</v>
      </c>
      <c r="BP72" s="1944" t="s">
        <v>2110</v>
      </c>
      <c r="BQ72" s="1945" t="s">
        <v>2113</v>
      </c>
      <c r="BR72" s="1947">
        <v>0.33333333333333331</v>
      </c>
      <c r="BS72" s="1947">
        <v>0.5</v>
      </c>
      <c r="BT72" s="1947">
        <v>0.33333333333333331</v>
      </c>
      <c r="BU72" s="1947">
        <v>0.5</v>
      </c>
      <c r="BV72" s="1947">
        <v>1</v>
      </c>
      <c r="BW72" s="1947">
        <v>1</v>
      </c>
      <c r="BX72" s="1947">
        <v>1</v>
      </c>
      <c r="BY72" s="1954">
        <v>1</v>
      </c>
      <c r="BZ72" s="1947">
        <v>0.33333333333333331</v>
      </c>
      <c r="CA72" s="1947">
        <v>0.5</v>
      </c>
      <c r="CB72" s="1948">
        <v>0.5</v>
      </c>
      <c r="CC72" s="1948">
        <v>0.5</v>
      </c>
      <c r="CD72" s="1948">
        <v>0.5</v>
      </c>
      <c r="CE72" s="2302"/>
      <c r="CG72" s="1940" t="s">
        <v>3483</v>
      </c>
      <c r="CH72" s="1944" t="s">
        <v>2110</v>
      </c>
      <c r="CI72" s="1945" t="s">
        <v>2113</v>
      </c>
      <c r="CJ72" s="2943">
        <f t="shared" si="25"/>
        <v>0.33333333333333331</v>
      </c>
      <c r="CK72" s="2943">
        <f t="shared" si="25"/>
        <v>0.5</v>
      </c>
      <c r="CL72" s="2943">
        <f t="shared" si="25"/>
        <v>0.33333333333333331</v>
      </c>
      <c r="CM72" s="2943">
        <f t="shared" si="25"/>
        <v>0.5</v>
      </c>
      <c r="CN72" s="2943">
        <f t="shared" si="24"/>
        <v>1</v>
      </c>
      <c r="CO72" s="2943">
        <f t="shared" si="24"/>
        <v>1</v>
      </c>
      <c r="CP72" s="2943">
        <f t="shared" si="24"/>
        <v>1</v>
      </c>
      <c r="CQ72" s="2967">
        <f t="shared" si="24"/>
        <v>1</v>
      </c>
      <c r="CR72" s="2943">
        <f t="shared" si="24"/>
        <v>0.33333333333333331</v>
      </c>
      <c r="CS72" s="2943">
        <f t="shared" si="24"/>
        <v>0.5</v>
      </c>
      <c r="CT72" s="2947">
        <f t="shared" si="9"/>
        <v>0.5</v>
      </c>
      <c r="CU72" s="2947">
        <f t="shared" si="9"/>
        <v>0.5</v>
      </c>
      <c r="CV72" s="2947">
        <f t="shared" si="9"/>
        <v>0.5</v>
      </c>
      <c r="CW72" s="2445"/>
      <c r="CX72" s="1940" t="s">
        <v>3525</v>
      </c>
      <c r="CY72" s="1944" t="s">
        <v>2110</v>
      </c>
      <c r="CZ72" s="1945" t="s">
        <v>2113</v>
      </c>
      <c r="DA72" s="2969">
        <v>0.25</v>
      </c>
      <c r="DB72" s="2945"/>
      <c r="DC72" s="2945"/>
      <c r="DD72" s="2945"/>
      <c r="DE72" s="2945"/>
      <c r="DF72" s="2945"/>
      <c r="DG72" s="2945"/>
      <c r="DH72" s="2968"/>
      <c r="DI72" s="2945"/>
      <c r="DJ72" s="2945"/>
      <c r="DK72" s="2949"/>
      <c r="DL72" s="2949"/>
      <c r="DM72" s="2949"/>
    </row>
    <row r="73" spans="1:117" hidden="1">
      <c r="A73" s="2445"/>
      <c r="B73" s="1914"/>
      <c r="C73" s="1937">
        <f t="shared" si="18"/>
        <v>0</v>
      </c>
      <c r="D73" s="1927">
        <f t="shared" si="34"/>
        <v>0</v>
      </c>
      <c r="E73" s="1939">
        <f>IF(J$68&gt;0,H73/J$68,0)</f>
        <v>0</v>
      </c>
      <c r="F73" s="2445"/>
      <c r="G73" s="1939">
        <f t="shared" si="19"/>
        <v>0</v>
      </c>
      <c r="H73" s="1939">
        <f t="shared" si="20"/>
        <v>0</v>
      </c>
      <c r="I73" s="1939"/>
      <c r="J73" s="1939"/>
      <c r="K73" s="1939"/>
      <c r="L73" s="1939"/>
      <c r="M73" s="1939">
        <f t="shared" si="21"/>
        <v>0</v>
      </c>
      <c r="N73" s="1939">
        <f t="shared" si="22"/>
        <v>0</v>
      </c>
      <c r="O73" s="2445"/>
      <c r="P73" s="1940">
        <f t="shared" si="32"/>
        <v>0</v>
      </c>
      <c r="Q73" s="1940">
        <f t="shared" si="32"/>
        <v>0</v>
      </c>
      <c r="R73" s="1941">
        <f t="shared" si="32"/>
        <v>0</v>
      </c>
      <c r="S73" s="1942">
        <f t="shared" si="31"/>
        <v>0</v>
      </c>
      <c r="T73" s="1942">
        <f t="shared" si="31"/>
        <v>0</v>
      </c>
      <c r="U73" s="1942">
        <f t="shared" si="31"/>
        <v>0</v>
      </c>
      <c r="V73" s="1942">
        <f t="shared" si="31"/>
        <v>0</v>
      </c>
      <c r="W73" s="1942">
        <f t="shared" si="31"/>
        <v>0</v>
      </c>
      <c r="X73" s="1942">
        <f t="shared" si="31"/>
        <v>0</v>
      </c>
      <c r="Y73" s="1942">
        <f t="shared" si="31"/>
        <v>0</v>
      </c>
      <c r="Z73" s="1960">
        <f t="shared" si="31"/>
        <v>0</v>
      </c>
      <c r="AA73" s="1942">
        <f t="shared" si="31"/>
        <v>0</v>
      </c>
      <c r="AB73" s="1942">
        <f t="shared" si="31"/>
        <v>0</v>
      </c>
      <c r="AC73" s="1943">
        <f t="shared" si="31"/>
        <v>0</v>
      </c>
      <c r="AD73" s="1943">
        <f t="shared" si="31"/>
        <v>0</v>
      </c>
      <c r="AE73" s="1943">
        <f t="shared" si="31"/>
        <v>0</v>
      </c>
      <c r="AF73" s="2445"/>
      <c r="AG73" s="1940"/>
      <c r="AH73" s="1944"/>
      <c r="AI73" s="1945"/>
      <c r="AJ73" s="1985"/>
      <c r="AK73" s="1942"/>
      <c r="AL73" s="1942"/>
      <c r="AM73" s="1942"/>
      <c r="AN73" s="1942"/>
      <c r="AO73" s="1942"/>
      <c r="AP73" s="1942"/>
      <c r="AQ73" s="1960"/>
      <c r="AR73" s="1942"/>
      <c r="AS73" s="1947"/>
      <c r="AT73" s="1948"/>
      <c r="AU73" s="1948"/>
      <c r="AV73" s="1948"/>
      <c r="AW73" s="2445"/>
      <c r="AX73" s="1940"/>
      <c r="AY73" s="1944"/>
      <c r="AZ73" s="1945"/>
      <c r="BA73" s="1947"/>
      <c r="BB73" s="1947"/>
      <c r="BC73" s="1947"/>
      <c r="BD73" s="1947"/>
      <c r="BE73" s="1947"/>
      <c r="BF73" s="1947"/>
      <c r="BG73" s="1947"/>
      <c r="BH73" s="1954"/>
      <c r="BI73" s="1947"/>
      <c r="BJ73" s="1947"/>
      <c r="BK73" s="1948"/>
      <c r="BL73" s="1948"/>
      <c r="BM73" s="1948"/>
      <c r="BN73" s="2445"/>
      <c r="BO73" s="1940"/>
      <c r="BP73" s="1944"/>
      <c r="BQ73" s="1945"/>
      <c r="BR73" s="1947"/>
      <c r="BS73" s="1947"/>
      <c r="BT73" s="1947"/>
      <c r="BU73" s="1947"/>
      <c r="BV73" s="1947"/>
      <c r="BW73" s="1947"/>
      <c r="BX73" s="1947"/>
      <c r="BY73" s="1954"/>
      <c r="BZ73" s="1947"/>
      <c r="CA73" s="1947"/>
      <c r="CB73" s="1948"/>
      <c r="CC73" s="1948"/>
      <c r="CD73" s="1948"/>
      <c r="CE73" s="2302"/>
      <c r="CF73" s="2445"/>
      <c r="CG73" s="1940"/>
      <c r="CH73" s="1944"/>
      <c r="CI73" s="1945"/>
      <c r="CJ73" s="2943"/>
      <c r="CK73" s="2943"/>
      <c r="CL73" s="2943"/>
      <c r="CM73" s="2943"/>
      <c r="CN73" s="2943"/>
      <c r="CO73" s="2943"/>
      <c r="CP73" s="2943"/>
      <c r="CQ73" s="2967"/>
      <c r="CR73" s="2943"/>
      <c r="CS73" s="2943"/>
      <c r="CT73" s="2947"/>
      <c r="CU73" s="2947"/>
      <c r="CV73" s="2947"/>
      <c r="CW73" s="2445"/>
      <c r="CX73" s="1940" t="s">
        <v>3526</v>
      </c>
      <c r="CY73" s="2971" t="s">
        <v>2110</v>
      </c>
      <c r="CZ73" s="2970" t="s">
        <v>3527</v>
      </c>
      <c r="DA73" s="2969">
        <v>0.2</v>
      </c>
      <c r="DB73" s="2945"/>
      <c r="DC73" s="2945"/>
      <c r="DD73" s="2945"/>
      <c r="DE73" s="2945"/>
      <c r="DF73" s="2945"/>
      <c r="DG73" s="2945"/>
      <c r="DH73" s="2968"/>
      <c r="DI73" s="2945"/>
      <c r="DJ73" s="2945"/>
      <c r="DK73" s="2949"/>
      <c r="DL73" s="2949"/>
      <c r="DM73" s="2949"/>
    </row>
    <row r="74" spans="1:117" s="1992" customFormat="1">
      <c r="A74"/>
      <c r="B74" s="1914">
        <f t="shared" si="23"/>
        <v>1.3</v>
      </c>
      <c r="C74" s="1937" t="str">
        <f t="shared" si="18"/>
        <v>維持管理</v>
      </c>
      <c r="D74" s="1938">
        <f>IF(I$63=0,0,G74/I$63)</f>
        <v>0.3</v>
      </c>
      <c r="E74" s="1939">
        <f>IF(J$63=0,0,H74/J$63)</f>
        <v>0</v>
      </c>
      <c r="F74"/>
      <c r="G74" s="1939">
        <f t="shared" si="19"/>
        <v>0.3</v>
      </c>
      <c r="H74" s="1939">
        <f t="shared" si="20"/>
        <v>0</v>
      </c>
      <c r="I74" s="1939">
        <f>G75+G76+G77</f>
        <v>1</v>
      </c>
      <c r="J74" s="1939">
        <f>H75+H76+H77</f>
        <v>0</v>
      </c>
      <c r="K74" s="1939">
        <f>IF(スコア!Q74=0,0,1)</f>
        <v>1</v>
      </c>
      <c r="L74" s="1939">
        <f>IF(スコア!T78=0,0,1)</f>
        <v>0</v>
      </c>
      <c r="M74" s="1939">
        <f t="shared" si="21"/>
        <v>0.3</v>
      </c>
      <c r="N74" s="1939">
        <f t="shared" si="22"/>
        <v>0</v>
      </c>
      <c r="O74"/>
      <c r="P74" s="1940">
        <f t="shared" si="32"/>
        <v>1.3</v>
      </c>
      <c r="Q74" s="1940" t="str">
        <f t="shared" si="32"/>
        <v xml:space="preserve"> Q2 1</v>
      </c>
      <c r="R74" s="1941" t="str">
        <f t="shared" si="32"/>
        <v>維持管理</v>
      </c>
      <c r="S74" s="1942">
        <f t="shared" si="31"/>
        <v>0.3</v>
      </c>
      <c r="T74" s="1942">
        <f t="shared" si="31"/>
        <v>0.3</v>
      </c>
      <c r="U74" s="1942">
        <f t="shared" si="31"/>
        <v>0.3</v>
      </c>
      <c r="V74" s="1942">
        <f t="shared" si="31"/>
        <v>0.3</v>
      </c>
      <c r="W74" s="1942">
        <f t="shared" si="31"/>
        <v>0.3</v>
      </c>
      <c r="X74" s="1942">
        <f t="shared" si="31"/>
        <v>0.3</v>
      </c>
      <c r="Y74" s="1942">
        <f t="shared" si="31"/>
        <v>0.3</v>
      </c>
      <c r="Z74" s="1960">
        <f t="shared" si="31"/>
        <v>0.3</v>
      </c>
      <c r="AA74" s="1942">
        <f t="shared" si="31"/>
        <v>0.3</v>
      </c>
      <c r="AB74" s="1942">
        <f t="shared" si="31"/>
        <v>0.3</v>
      </c>
      <c r="AC74" s="1943">
        <f t="shared" si="31"/>
        <v>0</v>
      </c>
      <c r="AD74" s="1943">
        <f t="shared" si="31"/>
        <v>0</v>
      </c>
      <c r="AE74" s="1943">
        <f t="shared" si="31"/>
        <v>0</v>
      </c>
      <c r="AF74"/>
      <c r="AG74" s="1940">
        <v>1.3</v>
      </c>
      <c r="AH74" s="1944" t="s">
        <v>2105</v>
      </c>
      <c r="AI74" s="1945" t="s">
        <v>1</v>
      </c>
      <c r="AJ74" s="1985">
        <v>0.3</v>
      </c>
      <c r="AK74" s="1985">
        <v>0.3</v>
      </c>
      <c r="AL74" s="1985">
        <v>0.3</v>
      </c>
      <c r="AM74" s="1946">
        <v>0.3</v>
      </c>
      <c r="AN74" s="1946">
        <v>0.3</v>
      </c>
      <c r="AO74" s="1985">
        <v>0.3</v>
      </c>
      <c r="AP74" s="1946">
        <v>0.3</v>
      </c>
      <c r="AQ74" s="1985">
        <v>0.3</v>
      </c>
      <c r="AR74" s="1946">
        <v>0.3</v>
      </c>
      <c r="AS74" s="1947">
        <v>0.3</v>
      </c>
      <c r="AT74" s="1948">
        <v>0</v>
      </c>
      <c r="AU74" s="1948">
        <v>0</v>
      </c>
      <c r="AV74" s="1948">
        <v>0</v>
      </c>
      <c r="AW74"/>
      <c r="AX74" s="1940">
        <v>1.3</v>
      </c>
      <c r="AY74" s="1944" t="s">
        <v>2105</v>
      </c>
      <c r="AZ74" s="1945" t="s">
        <v>1</v>
      </c>
      <c r="BA74" s="1947">
        <v>0.3</v>
      </c>
      <c r="BB74" s="1947">
        <v>0.3</v>
      </c>
      <c r="BC74" s="1947">
        <v>0.3</v>
      </c>
      <c r="BD74" s="1947">
        <v>0.3</v>
      </c>
      <c r="BE74" s="1947">
        <v>0.3</v>
      </c>
      <c r="BF74" s="1947">
        <v>0.3</v>
      </c>
      <c r="BG74" s="1947">
        <v>0.3</v>
      </c>
      <c r="BH74" s="1954">
        <v>0.3</v>
      </c>
      <c r="BI74" s="1947">
        <v>0.3</v>
      </c>
      <c r="BJ74" s="1947">
        <v>0.3</v>
      </c>
      <c r="BK74" s="1948"/>
      <c r="BL74" s="1948"/>
      <c r="BM74" s="1948"/>
      <c r="BN74"/>
      <c r="BO74" s="1940">
        <v>1.3</v>
      </c>
      <c r="BP74" s="1944" t="s">
        <v>2105</v>
      </c>
      <c r="BQ74" s="1945" t="s">
        <v>3739</v>
      </c>
      <c r="BR74" s="1947">
        <v>0.3</v>
      </c>
      <c r="BS74" s="1947">
        <v>0.3</v>
      </c>
      <c r="BT74" s="1947">
        <v>0.3</v>
      </c>
      <c r="BU74" s="1947">
        <v>0.3</v>
      </c>
      <c r="BV74" s="1947">
        <v>0.3</v>
      </c>
      <c r="BW74" s="1947">
        <v>0.3</v>
      </c>
      <c r="BX74" s="1947">
        <v>0.3</v>
      </c>
      <c r="BY74" s="1954">
        <v>0.3</v>
      </c>
      <c r="BZ74" s="1947">
        <v>0.3</v>
      </c>
      <c r="CA74" s="1947">
        <v>0.3</v>
      </c>
      <c r="CB74" s="1948"/>
      <c r="CC74" s="1948"/>
      <c r="CD74" s="1948"/>
      <c r="CE74" s="2302"/>
      <c r="CF74"/>
      <c r="CG74" s="1940">
        <v>1.3</v>
      </c>
      <c r="CH74" s="1944" t="s">
        <v>2105</v>
      </c>
      <c r="CI74" s="1945" t="s">
        <v>1</v>
      </c>
      <c r="CJ74" s="2943">
        <f t="shared" si="25"/>
        <v>0.3</v>
      </c>
      <c r="CK74" s="2943">
        <f t="shared" si="25"/>
        <v>0.3</v>
      </c>
      <c r="CL74" s="2943">
        <f t="shared" si="25"/>
        <v>0.3</v>
      </c>
      <c r="CM74" s="2943">
        <f t="shared" si="25"/>
        <v>0.3</v>
      </c>
      <c r="CN74" s="2943">
        <f t="shared" si="24"/>
        <v>0.3</v>
      </c>
      <c r="CO74" s="2943">
        <f t="shared" si="24"/>
        <v>0.3</v>
      </c>
      <c r="CP74" s="2943">
        <f t="shared" si="24"/>
        <v>0.3</v>
      </c>
      <c r="CQ74" s="2967">
        <f t="shared" si="24"/>
        <v>0.3</v>
      </c>
      <c r="CR74" s="2943">
        <f t="shared" si="24"/>
        <v>0.3</v>
      </c>
      <c r="CS74" s="2943">
        <f t="shared" si="24"/>
        <v>0.3</v>
      </c>
      <c r="CT74" s="2947">
        <f t="shared" si="9"/>
        <v>0</v>
      </c>
      <c r="CU74" s="2947">
        <f t="shared" si="9"/>
        <v>0</v>
      </c>
      <c r="CV74" s="2947">
        <f t="shared" si="9"/>
        <v>0</v>
      </c>
      <c r="CW74" s="2445"/>
      <c r="CX74" s="1940">
        <v>1.3</v>
      </c>
      <c r="CY74" s="1944" t="s">
        <v>2105</v>
      </c>
      <c r="CZ74" s="1945" t="s">
        <v>1</v>
      </c>
      <c r="DA74" s="2944">
        <v>0.15</v>
      </c>
      <c r="DB74" s="2945"/>
      <c r="DC74" s="2945"/>
      <c r="DD74" s="2945"/>
      <c r="DE74" s="2945"/>
      <c r="DF74" s="2945"/>
      <c r="DG74" s="2945"/>
      <c r="DH74" s="2968"/>
      <c r="DI74" s="2945"/>
      <c r="DJ74" s="2945"/>
      <c r="DK74" s="2949"/>
      <c r="DL74" s="2949"/>
      <c r="DM74" s="2949"/>
    </row>
    <row r="75" spans="1:117" s="1992" customFormat="1">
      <c r="A75"/>
      <c r="B75" s="1914" t="str">
        <f t="shared" si="23"/>
        <v>1.3.1</v>
      </c>
      <c r="C75" s="1937" t="str">
        <f t="shared" si="18"/>
        <v>維持管理に配慮した設計</v>
      </c>
      <c r="D75" s="1927">
        <f t="shared" ref="D75:E77" si="35">IF(I$74&gt;0,G75/I$74,0)</f>
        <v>0.5</v>
      </c>
      <c r="E75" s="1927">
        <f t="shared" si="35"/>
        <v>0</v>
      </c>
      <c r="F75"/>
      <c r="G75" s="1939">
        <f t="shared" si="19"/>
        <v>0.5</v>
      </c>
      <c r="H75" s="1939">
        <f t="shared" si="20"/>
        <v>0</v>
      </c>
      <c r="I75" s="1939"/>
      <c r="J75" s="1939"/>
      <c r="K75" s="1939">
        <f>IF(スコア!Q75=0,0,1)</f>
        <v>1</v>
      </c>
      <c r="L75" s="1939">
        <f>IF(スコア!T79=0,0,1)</f>
        <v>0</v>
      </c>
      <c r="M75" s="1939">
        <f t="shared" si="21"/>
        <v>0.5</v>
      </c>
      <c r="N75" s="1939">
        <f t="shared" si="22"/>
        <v>0</v>
      </c>
      <c r="O75"/>
      <c r="P75" s="1940" t="str">
        <f t="shared" si="32"/>
        <v>1.3.1</v>
      </c>
      <c r="Q75" s="1940" t="str">
        <f t="shared" si="32"/>
        <v xml:space="preserve"> Q2 1.3</v>
      </c>
      <c r="R75" s="1941" t="str">
        <f t="shared" si="32"/>
        <v>維持管理に配慮した設計</v>
      </c>
      <c r="S75" s="1942">
        <f t="shared" si="31"/>
        <v>0.5</v>
      </c>
      <c r="T75" s="1942">
        <f t="shared" si="31"/>
        <v>0.5</v>
      </c>
      <c r="U75" s="1942">
        <f t="shared" si="31"/>
        <v>0.5</v>
      </c>
      <c r="V75" s="1942">
        <f t="shared" si="31"/>
        <v>0.5</v>
      </c>
      <c r="W75" s="1942">
        <f t="shared" si="31"/>
        <v>0.5</v>
      </c>
      <c r="X75" s="1942">
        <f t="shared" si="31"/>
        <v>0.5</v>
      </c>
      <c r="Y75" s="1942">
        <f t="shared" si="31"/>
        <v>0.5</v>
      </c>
      <c r="Z75" s="1960">
        <f t="shared" si="31"/>
        <v>0.5</v>
      </c>
      <c r="AA75" s="1942">
        <f t="shared" si="31"/>
        <v>0.5</v>
      </c>
      <c r="AB75" s="1942">
        <f t="shared" si="31"/>
        <v>0.5</v>
      </c>
      <c r="AC75" s="1943">
        <f t="shared" si="31"/>
        <v>0</v>
      </c>
      <c r="AD75" s="1943">
        <f t="shared" si="31"/>
        <v>0</v>
      </c>
      <c r="AE75" s="1943">
        <f t="shared" si="31"/>
        <v>0</v>
      </c>
      <c r="AF75"/>
      <c r="AG75" s="1940" t="s">
        <v>2114</v>
      </c>
      <c r="AH75" s="1944" t="s">
        <v>1682</v>
      </c>
      <c r="AI75" s="628" t="s">
        <v>1683</v>
      </c>
      <c r="AJ75" s="1985">
        <v>0.5</v>
      </c>
      <c r="AK75" s="1985">
        <v>0.5</v>
      </c>
      <c r="AL75" s="1985">
        <v>0.5</v>
      </c>
      <c r="AM75" s="1953">
        <v>0.5</v>
      </c>
      <c r="AN75" s="1953">
        <v>0.5</v>
      </c>
      <c r="AO75" s="1985">
        <v>0.5</v>
      </c>
      <c r="AP75" s="1953">
        <v>0.5</v>
      </c>
      <c r="AQ75" s="1985">
        <v>0.5</v>
      </c>
      <c r="AR75" s="1953">
        <v>0.5</v>
      </c>
      <c r="AS75" s="1947">
        <v>0.5</v>
      </c>
      <c r="AT75" s="1948">
        <v>0</v>
      </c>
      <c r="AU75" s="1948">
        <v>0</v>
      </c>
      <c r="AV75" s="1948">
        <v>0</v>
      </c>
      <c r="AW75"/>
      <c r="AX75" s="1940" t="s">
        <v>2114</v>
      </c>
      <c r="AY75" s="1944" t="s">
        <v>1682</v>
      </c>
      <c r="AZ75" s="1945" t="s">
        <v>1684</v>
      </c>
      <c r="BA75" s="1947">
        <v>0.5</v>
      </c>
      <c r="BB75" s="1947">
        <v>0.5</v>
      </c>
      <c r="BC75" s="1947">
        <v>0.5</v>
      </c>
      <c r="BD75" s="1947">
        <v>0.5</v>
      </c>
      <c r="BE75" s="1947">
        <v>0.5</v>
      </c>
      <c r="BF75" s="1947">
        <v>0.5</v>
      </c>
      <c r="BG75" s="1947">
        <v>0.5</v>
      </c>
      <c r="BH75" s="1954">
        <v>0.5</v>
      </c>
      <c r="BI75" s="1947">
        <v>0.5</v>
      </c>
      <c r="BJ75" s="1947">
        <v>0.5</v>
      </c>
      <c r="BK75" s="1948"/>
      <c r="BL75" s="1948"/>
      <c r="BM75" s="1948"/>
      <c r="BN75"/>
      <c r="BO75" s="1940" t="s">
        <v>2114</v>
      </c>
      <c r="BP75" s="1944" t="s">
        <v>1682</v>
      </c>
      <c r="BQ75" s="1945" t="s">
        <v>2</v>
      </c>
      <c r="BR75" s="1947">
        <v>0.5</v>
      </c>
      <c r="BS75" s="1947">
        <v>0.5</v>
      </c>
      <c r="BT75" s="1947">
        <v>0.5</v>
      </c>
      <c r="BU75" s="1947">
        <v>0.5</v>
      </c>
      <c r="BV75" s="1947">
        <v>0.5</v>
      </c>
      <c r="BW75" s="1947">
        <v>0.5</v>
      </c>
      <c r="BX75" s="1947">
        <v>0.5</v>
      </c>
      <c r="BY75" s="1954">
        <v>0.5</v>
      </c>
      <c r="BZ75" s="1947">
        <v>0.5</v>
      </c>
      <c r="CA75" s="1947">
        <v>0.5</v>
      </c>
      <c r="CB75" s="1948"/>
      <c r="CC75" s="1948"/>
      <c r="CD75" s="1948"/>
      <c r="CE75" s="2302"/>
      <c r="CF75"/>
      <c r="CG75" s="1940" t="s">
        <v>2114</v>
      </c>
      <c r="CH75" s="1944" t="s">
        <v>1682</v>
      </c>
      <c r="CI75" s="1945" t="s">
        <v>1684</v>
      </c>
      <c r="CJ75" s="2943">
        <f t="shared" si="25"/>
        <v>0.5</v>
      </c>
      <c r="CK75" s="2943">
        <f t="shared" si="25"/>
        <v>0.5</v>
      </c>
      <c r="CL75" s="2943">
        <f t="shared" si="25"/>
        <v>0.5</v>
      </c>
      <c r="CM75" s="2943">
        <f t="shared" si="25"/>
        <v>0.5</v>
      </c>
      <c r="CN75" s="2943">
        <f t="shared" si="24"/>
        <v>0.5</v>
      </c>
      <c r="CO75" s="2943">
        <f t="shared" si="24"/>
        <v>0.5</v>
      </c>
      <c r="CP75" s="2943">
        <f t="shared" si="24"/>
        <v>0.5</v>
      </c>
      <c r="CQ75" s="2967">
        <f t="shared" si="24"/>
        <v>0.5</v>
      </c>
      <c r="CR75" s="2943">
        <f t="shared" si="24"/>
        <v>0.5</v>
      </c>
      <c r="CS75" s="2943">
        <f t="shared" si="24"/>
        <v>0.5</v>
      </c>
      <c r="CT75" s="2947">
        <f t="shared" si="9"/>
        <v>0</v>
      </c>
      <c r="CU75" s="2947">
        <f t="shared" si="9"/>
        <v>0</v>
      </c>
      <c r="CV75" s="2947">
        <f t="shared" si="9"/>
        <v>0</v>
      </c>
      <c r="CW75" s="2445"/>
      <c r="CX75" s="1940" t="s">
        <v>2114</v>
      </c>
      <c r="CY75" s="1944" t="s">
        <v>1682</v>
      </c>
      <c r="CZ75" s="1945" t="s">
        <v>1684</v>
      </c>
      <c r="DA75" s="2944">
        <v>1</v>
      </c>
      <c r="DB75" s="2945"/>
      <c r="DC75" s="2945"/>
      <c r="DD75" s="2945"/>
      <c r="DE75" s="2945"/>
      <c r="DF75" s="2945"/>
      <c r="DG75" s="2945"/>
      <c r="DH75" s="2968"/>
      <c r="DI75" s="2945"/>
      <c r="DJ75" s="2945"/>
      <c r="DK75" s="2949"/>
      <c r="DL75" s="2949"/>
      <c r="DM75" s="2949"/>
    </row>
    <row r="76" spans="1:117" s="1992" customFormat="1">
      <c r="A76"/>
      <c r="B76" s="1914" t="str">
        <f t="shared" si="23"/>
        <v>1.3.2</v>
      </c>
      <c r="C76" s="1937" t="str">
        <f t="shared" ref="C76:C107" si="36">R76</f>
        <v>維持管理用機能の確保</v>
      </c>
      <c r="D76" s="1927">
        <f t="shared" si="35"/>
        <v>0.5</v>
      </c>
      <c r="E76" s="1927">
        <f t="shared" si="35"/>
        <v>0</v>
      </c>
      <c r="F76"/>
      <c r="G76" s="1939">
        <f t="shared" ref="G76:G107" si="37">K76*M76</f>
        <v>0.5</v>
      </c>
      <c r="H76" s="1939">
        <f t="shared" ref="H76:H107" si="38">L76*N76</f>
        <v>0</v>
      </c>
      <c r="I76" s="1939"/>
      <c r="J76" s="1939"/>
      <c r="K76" s="1939">
        <f>IF(スコア!Q76=0,0,1)</f>
        <v>1</v>
      </c>
      <c r="L76" s="1939">
        <f>IF(スコア!T80=0,0,1)</f>
        <v>0</v>
      </c>
      <c r="M76" s="1939">
        <f t="shared" ref="M76:M107" si="39">SUMPRODUCT($S$7:$AB$7,S76:AB76)</f>
        <v>0.5</v>
      </c>
      <c r="N76" s="1939">
        <f t="shared" ref="N76:N98" si="40">(AC$7*AC76)+(AD$7*AD76)+(AE$7*AE76)</f>
        <v>0</v>
      </c>
      <c r="O76"/>
      <c r="P76" s="1940" t="str">
        <f t="shared" si="32"/>
        <v>1.3.2</v>
      </c>
      <c r="Q76" s="1940" t="str">
        <f t="shared" si="32"/>
        <v xml:space="preserve"> Q2 1.3</v>
      </c>
      <c r="R76" s="1941" t="str">
        <f t="shared" si="32"/>
        <v>維持管理用機能の確保</v>
      </c>
      <c r="S76" s="1942">
        <f t="shared" si="31"/>
        <v>0.5</v>
      </c>
      <c r="T76" s="1942">
        <f t="shared" si="31"/>
        <v>0.5</v>
      </c>
      <c r="U76" s="1942">
        <f t="shared" si="31"/>
        <v>0.5</v>
      </c>
      <c r="V76" s="1942">
        <f t="shared" si="31"/>
        <v>0.5</v>
      </c>
      <c r="W76" s="1942">
        <f t="shared" si="31"/>
        <v>0.5</v>
      </c>
      <c r="X76" s="1942">
        <f t="shared" si="31"/>
        <v>0.5</v>
      </c>
      <c r="Y76" s="1942">
        <f t="shared" si="31"/>
        <v>0.5</v>
      </c>
      <c r="Z76" s="1960">
        <f t="shared" si="31"/>
        <v>0.5</v>
      </c>
      <c r="AA76" s="1942">
        <f t="shared" si="31"/>
        <v>0.5</v>
      </c>
      <c r="AB76" s="1942">
        <f t="shared" si="31"/>
        <v>0.5</v>
      </c>
      <c r="AC76" s="1943">
        <f t="shared" si="31"/>
        <v>0</v>
      </c>
      <c r="AD76" s="1943">
        <f t="shared" si="31"/>
        <v>0</v>
      </c>
      <c r="AE76" s="1943">
        <f t="shared" si="31"/>
        <v>0</v>
      </c>
      <c r="AF76"/>
      <c r="AG76" s="1940" t="s">
        <v>1685</v>
      </c>
      <c r="AH76" s="1944" t="s">
        <v>1682</v>
      </c>
      <c r="AI76" s="628" t="s">
        <v>1686</v>
      </c>
      <c r="AJ76" s="1985">
        <v>0.3</v>
      </c>
      <c r="AK76" s="1985">
        <v>0.3</v>
      </c>
      <c r="AL76" s="1985">
        <v>0.3</v>
      </c>
      <c r="AM76" s="1953">
        <v>0.3</v>
      </c>
      <c r="AN76" s="1953">
        <v>0.3</v>
      </c>
      <c r="AO76" s="1985">
        <v>0.3</v>
      </c>
      <c r="AP76" s="1953">
        <v>0.3</v>
      </c>
      <c r="AQ76" s="1985">
        <v>0.3</v>
      </c>
      <c r="AR76" s="1953">
        <v>0.3</v>
      </c>
      <c r="AS76" s="1947">
        <v>0.3</v>
      </c>
      <c r="AT76" s="1948">
        <v>0</v>
      </c>
      <c r="AU76" s="1948">
        <v>0</v>
      </c>
      <c r="AV76" s="1948">
        <v>0</v>
      </c>
      <c r="AW76"/>
      <c r="AX76" s="1940" t="s">
        <v>1685</v>
      </c>
      <c r="AY76" s="1944" t="s">
        <v>1682</v>
      </c>
      <c r="AZ76" s="1945" t="s">
        <v>1687</v>
      </c>
      <c r="BA76" s="1947">
        <v>0.5</v>
      </c>
      <c r="BB76" s="1947">
        <v>0.5</v>
      </c>
      <c r="BC76" s="1947">
        <v>0.5</v>
      </c>
      <c r="BD76" s="1947">
        <v>0.5</v>
      </c>
      <c r="BE76" s="1947">
        <v>0.5</v>
      </c>
      <c r="BF76" s="1947">
        <v>0.5</v>
      </c>
      <c r="BG76" s="1947">
        <v>0.5</v>
      </c>
      <c r="BH76" s="1954">
        <v>0.5</v>
      </c>
      <c r="BI76" s="1947">
        <v>0.5</v>
      </c>
      <c r="BJ76" s="1947">
        <v>0.5</v>
      </c>
      <c r="BK76" s="1948"/>
      <c r="BL76" s="1948"/>
      <c r="BM76" s="1948"/>
      <c r="BN76"/>
      <c r="BO76" s="1940" t="s">
        <v>1685</v>
      </c>
      <c r="BP76" s="1944" t="s">
        <v>1682</v>
      </c>
      <c r="BQ76" s="1945" t="s">
        <v>3</v>
      </c>
      <c r="BR76" s="1947">
        <v>0.5</v>
      </c>
      <c r="BS76" s="1947">
        <v>0.5</v>
      </c>
      <c r="BT76" s="1947">
        <v>0.5</v>
      </c>
      <c r="BU76" s="1947">
        <v>0.5</v>
      </c>
      <c r="BV76" s="1947">
        <v>0.5</v>
      </c>
      <c r="BW76" s="1947">
        <v>0.5</v>
      </c>
      <c r="BX76" s="1947">
        <v>0.5</v>
      </c>
      <c r="BY76" s="1954">
        <v>0.5</v>
      </c>
      <c r="BZ76" s="1947">
        <v>0.5</v>
      </c>
      <c r="CA76" s="1947">
        <v>0.5</v>
      </c>
      <c r="CB76" s="1948"/>
      <c r="CC76" s="1948"/>
      <c r="CD76" s="1948"/>
      <c r="CE76" s="2302"/>
      <c r="CF76"/>
      <c r="CG76" s="1940" t="s">
        <v>1685</v>
      </c>
      <c r="CH76" s="1944" t="s">
        <v>1682</v>
      </c>
      <c r="CI76" s="1945" t="s">
        <v>1687</v>
      </c>
      <c r="CJ76" s="2943">
        <f t="shared" si="25"/>
        <v>0.5</v>
      </c>
      <c r="CK76" s="2943">
        <f t="shared" si="25"/>
        <v>0.5</v>
      </c>
      <c r="CL76" s="2943">
        <f t="shared" si="25"/>
        <v>0.5</v>
      </c>
      <c r="CM76" s="2943">
        <f t="shared" si="25"/>
        <v>0.5</v>
      </c>
      <c r="CN76" s="2943">
        <f t="shared" si="24"/>
        <v>0.5</v>
      </c>
      <c r="CO76" s="2943">
        <f t="shared" si="24"/>
        <v>0.5</v>
      </c>
      <c r="CP76" s="2943">
        <f t="shared" si="24"/>
        <v>0.5</v>
      </c>
      <c r="CQ76" s="2967">
        <f t="shared" si="24"/>
        <v>0.5</v>
      </c>
      <c r="CR76" s="2943">
        <f t="shared" si="24"/>
        <v>0.5</v>
      </c>
      <c r="CS76" s="2943">
        <f t="shared" si="24"/>
        <v>0.5</v>
      </c>
      <c r="CT76" s="2947">
        <f t="shared" si="24"/>
        <v>0</v>
      </c>
      <c r="CU76" s="2947">
        <f t="shared" si="24"/>
        <v>0</v>
      </c>
      <c r="CV76" s="2947">
        <f t="shared" si="24"/>
        <v>0</v>
      </c>
      <c r="CW76" s="2445"/>
      <c r="CX76" s="1940" t="s">
        <v>1685</v>
      </c>
      <c r="CY76" s="1944" t="s">
        <v>1682</v>
      </c>
      <c r="CZ76" s="1945" t="s">
        <v>1687</v>
      </c>
      <c r="DA76" s="2944">
        <v>0</v>
      </c>
      <c r="DB76" s="2945"/>
      <c r="DC76" s="2945"/>
      <c r="DD76" s="2945"/>
      <c r="DE76" s="2945"/>
      <c r="DF76" s="2945"/>
      <c r="DG76" s="2945"/>
      <c r="DH76" s="2968"/>
      <c r="DI76" s="2945"/>
      <c r="DJ76" s="2945"/>
      <c r="DK76" s="2949"/>
      <c r="DL76" s="2949"/>
      <c r="DM76" s="2949"/>
    </row>
    <row r="77" spans="1:117" s="1992" customFormat="1" hidden="1">
      <c r="A77"/>
      <c r="B77" s="1914">
        <f t="shared" si="23"/>
        <v>0</v>
      </c>
      <c r="C77" s="1937">
        <f t="shared" si="36"/>
        <v>0</v>
      </c>
      <c r="D77" s="1927">
        <f t="shared" si="35"/>
        <v>0</v>
      </c>
      <c r="E77" s="1927">
        <f t="shared" si="35"/>
        <v>0</v>
      </c>
      <c r="F77"/>
      <c r="G77" s="1939">
        <f t="shared" si="37"/>
        <v>0</v>
      </c>
      <c r="H77" s="1939">
        <f t="shared" si="38"/>
        <v>0</v>
      </c>
      <c r="I77" s="1939"/>
      <c r="J77" s="1939"/>
      <c r="K77" s="1939">
        <f>IF(スコア!Q77=0,0,1)</f>
        <v>0</v>
      </c>
      <c r="L77" s="1939">
        <f>IF(スコア!T81=0,0,1)</f>
        <v>0</v>
      </c>
      <c r="M77" s="1939">
        <f t="shared" si="39"/>
        <v>0</v>
      </c>
      <c r="N77" s="1939">
        <f t="shared" si="40"/>
        <v>0</v>
      </c>
      <c r="O77"/>
      <c r="P77" s="1940">
        <f t="shared" si="32"/>
        <v>0</v>
      </c>
      <c r="Q77" s="1940" t="str">
        <f t="shared" si="32"/>
        <v>0</v>
      </c>
      <c r="R77" s="1941">
        <f t="shared" si="32"/>
        <v>0</v>
      </c>
      <c r="S77" s="1942">
        <f t="shared" si="31"/>
        <v>0</v>
      </c>
      <c r="T77" s="1942">
        <f t="shared" si="31"/>
        <v>0</v>
      </c>
      <c r="U77" s="1942">
        <f t="shared" si="31"/>
        <v>0</v>
      </c>
      <c r="V77" s="1942">
        <f t="shared" si="31"/>
        <v>0</v>
      </c>
      <c r="W77" s="1942">
        <f t="shared" si="31"/>
        <v>0</v>
      </c>
      <c r="X77" s="1942">
        <f t="shared" si="31"/>
        <v>0</v>
      </c>
      <c r="Y77" s="1942">
        <f t="shared" si="31"/>
        <v>0</v>
      </c>
      <c r="Z77" s="1960">
        <f t="shared" si="31"/>
        <v>0</v>
      </c>
      <c r="AA77" s="1942">
        <f t="shared" si="31"/>
        <v>0</v>
      </c>
      <c r="AB77" s="1942">
        <f t="shared" si="31"/>
        <v>0</v>
      </c>
      <c r="AC77" s="1943">
        <f t="shared" si="31"/>
        <v>0</v>
      </c>
      <c r="AD77" s="1943">
        <f t="shared" si="31"/>
        <v>0</v>
      </c>
      <c r="AE77" s="1943">
        <f t="shared" si="31"/>
        <v>0</v>
      </c>
      <c r="AF77"/>
      <c r="AG77" s="1940" t="s">
        <v>1688</v>
      </c>
      <c r="AH77" s="1944" t="s">
        <v>2247</v>
      </c>
      <c r="AI77" s="628" t="s">
        <v>4</v>
      </c>
      <c r="AJ77" s="1985">
        <v>0.2</v>
      </c>
      <c r="AK77" s="1985">
        <v>0.2</v>
      </c>
      <c r="AL77" s="1985">
        <v>0.2</v>
      </c>
      <c r="AM77" s="1953">
        <v>0.2</v>
      </c>
      <c r="AN77" s="1953">
        <v>0.2</v>
      </c>
      <c r="AO77" s="1985">
        <v>0.2</v>
      </c>
      <c r="AP77" s="1953">
        <v>0.2</v>
      </c>
      <c r="AQ77" s="1985">
        <v>0.2</v>
      </c>
      <c r="AR77" s="1953">
        <v>0.2</v>
      </c>
      <c r="AS77" s="1947">
        <v>0.2</v>
      </c>
      <c r="AT77" s="1948">
        <v>0</v>
      </c>
      <c r="AU77" s="1948">
        <v>0</v>
      </c>
      <c r="AV77" s="1948">
        <v>0</v>
      </c>
      <c r="AW77"/>
      <c r="AX77" s="1940">
        <v>0</v>
      </c>
      <c r="AY77" s="1944" t="s">
        <v>2248</v>
      </c>
      <c r="AZ77" s="1945"/>
      <c r="BA77" s="1947"/>
      <c r="BB77" s="1947"/>
      <c r="BC77" s="1947"/>
      <c r="BD77" s="1947"/>
      <c r="BE77" s="1947"/>
      <c r="BF77" s="1947"/>
      <c r="BG77" s="1947"/>
      <c r="BH77" s="1993"/>
      <c r="BI77" s="1947"/>
      <c r="BJ77" s="1947"/>
      <c r="BK77" s="1948"/>
      <c r="BL77" s="1948"/>
      <c r="BM77" s="1948"/>
      <c r="BN77"/>
      <c r="BO77" s="1940">
        <v>0</v>
      </c>
      <c r="BP77" s="1944" t="s">
        <v>3694</v>
      </c>
      <c r="BQ77" s="1945"/>
      <c r="BR77" s="1947"/>
      <c r="BS77" s="1947"/>
      <c r="BT77" s="1947"/>
      <c r="BU77" s="1947"/>
      <c r="BV77" s="1947"/>
      <c r="BW77" s="1947"/>
      <c r="BX77" s="1947"/>
      <c r="BY77" s="1993"/>
      <c r="BZ77" s="1947"/>
      <c r="CA77" s="1947"/>
      <c r="CB77" s="1948"/>
      <c r="CC77" s="1948"/>
      <c r="CD77" s="1948"/>
      <c r="CE77" s="2302"/>
      <c r="CF77"/>
      <c r="CG77" s="1940">
        <v>0</v>
      </c>
      <c r="CH77" s="1944" t="s">
        <v>3528</v>
      </c>
      <c r="CI77" s="1945"/>
      <c r="CJ77" s="2943">
        <f t="shared" si="25"/>
        <v>0</v>
      </c>
      <c r="CK77" s="2943">
        <f t="shared" si="25"/>
        <v>0</v>
      </c>
      <c r="CL77" s="2943">
        <f t="shared" si="25"/>
        <v>0</v>
      </c>
      <c r="CM77" s="2943">
        <f t="shared" si="25"/>
        <v>0</v>
      </c>
      <c r="CN77" s="2943">
        <f t="shared" si="24"/>
        <v>0</v>
      </c>
      <c r="CO77" s="2943">
        <f t="shared" si="24"/>
        <v>0</v>
      </c>
      <c r="CP77" s="2943">
        <f t="shared" si="24"/>
        <v>0</v>
      </c>
      <c r="CQ77" s="2972">
        <f t="shared" si="24"/>
        <v>0</v>
      </c>
      <c r="CR77" s="2943">
        <f t="shared" si="24"/>
        <v>0</v>
      </c>
      <c r="CS77" s="2943">
        <f t="shared" si="24"/>
        <v>0</v>
      </c>
      <c r="CT77" s="2947">
        <f t="shared" si="24"/>
        <v>0</v>
      </c>
      <c r="CU77" s="2947">
        <f t="shared" si="24"/>
        <v>0</v>
      </c>
      <c r="CV77" s="2947">
        <f t="shared" si="24"/>
        <v>0</v>
      </c>
      <c r="CW77" s="2445"/>
      <c r="CX77" s="1940">
        <v>0</v>
      </c>
      <c r="CY77" s="1944" t="s">
        <v>3528</v>
      </c>
      <c r="CZ77" s="1945"/>
      <c r="DA77" s="2945">
        <f t="shared" ref="DA77:DA140" si="41">BR77</f>
        <v>0</v>
      </c>
      <c r="DB77" s="2945"/>
      <c r="DC77" s="2945"/>
      <c r="DD77" s="2945"/>
      <c r="DE77" s="2945"/>
      <c r="DF77" s="2945"/>
      <c r="DG77" s="2945"/>
      <c r="DH77" s="2973"/>
      <c r="DI77" s="2945"/>
      <c r="DJ77" s="2945"/>
      <c r="DK77" s="2949"/>
      <c r="DL77" s="2949"/>
      <c r="DM77" s="2949"/>
    </row>
    <row r="78" spans="1:117" s="1328" customFormat="1">
      <c r="A78"/>
      <c r="B78" s="1914">
        <f t="shared" ref="B78:B109" si="42">P78</f>
        <v>2</v>
      </c>
      <c r="C78" s="1955" t="str">
        <f t="shared" si="36"/>
        <v>耐用性・信頼性</v>
      </c>
      <c r="D78" s="1925">
        <f>IF(I$62=0,0,G78/I$62)</f>
        <v>0.3</v>
      </c>
      <c r="E78" s="1926">
        <f>IF(J$62=0,0,H78/J$62)</f>
        <v>0</v>
      </c>
      <c r="F78"/>
      <c r="G78" s="1926">
        <f t="shared" si="37"/>
        <v>0.3</v>
      </c>
      <c r="H78" s="1926">
        <f t="shared" si="38"/>
        <v>0</v>
      </c>
      <c r="I78" s="1926">
        <f>G79+G82++G89+G93</f>
        <v>1</v>
      </c>
      <c r="J78" s="1926">
        <f>H79+H82++H89+H93</f>
        <v>0</v>
      </c>
      <c r="K78" s="1926">
        <f>IF(スコア!Q78=0,0,1)</f>
        <v>1</v>
      </c>
      <c r="L78" s="1926">
        <f>IF(スコア!T78=0,0,1)</f>
        <v>0</v>
      </c>
      <c r="M78" s="1926">
        <f t="shared" si="39"/>
        <v>0.3</v>
      </c>
      <c r="N78" s="1926">
        <f t="shared" si="40"/>
        <v>0</v>
      </c>
      <c r="O78"/>
      <c r="P78" s="1928">
        <f t="shared" si="32"/>
        <v>2</v>
      </c>
      <c r="Q78" s="1928" t="str">
        <f t="shared" si="32"/>
        <v xml:space="preserve"> Q2</v>
      </c>
      <c r="R78" s="1929" t="str">
        <f t="shared" si="32"/>
        <v>耐用性・信頼性</v>
      </c>
      <c r="S78" s="1930">
        <f t="shared" si="31"/>
        <v>0.3</v>
      </c>
      <c r="T78" s="1930">
        <f t="shared" si="31"/>
        <v>0.3</v>
      </c>
      <c r="U78" s="1930">
        <f t="shared" si="31"/>
        <v>0.3</v>
      </c>
      <c r="V78" s="1930">
        <f t="shared" si="31"/>
        <v>0.3</v>
      </c>
      <c r="W78" s="1930">
        <f t="shared" si="31"/>
        <v>0.3</v>
      </c>
      <c r="X78" s="1930">
        <f t="shared" si="31"/>
        <v>0.3</v>
      </c>
      <c r="Y78" s="1930">
        <f t="shared" si="31"/>
        <v>0.3</v>
      </c>
      <c r="Z78" s="1994">
        <f t="shared" si="31"/>
        <v>0.3</v>
      </c>
      <c r="AA78" s="1930">
        <f t="shared" si="31"/>
        <v>0.3</v>
      </c>
      <c r="AB78" s="1930">
        <f t="shared" si="31"/>
        <v>0.3</v>
      </c>
      <c r="AC78" s="1932">
        <f t="shared" si="31"/>
        <v>0</v>
      </c>
      <c r="AD78" s="1930">
        <f t="shared" si="31"/>
        <v>0</v>
      </c>
      <c r="AE78" s="1930">
        <f t="shared" si="31"/>
        <v>0</v>
      </c>
      <c r="AF78"/>
      <c r="AG78" s="1928">
        <v>2</v>
      </c>
      <c r="AH78" s="1933" t="s">
        <v>2103</v>
      </c>
      <c r="AI78" s="1957" t="s">
        <v>1689</v>
      </c>
      <c r="AJ78" s="1930">
        <v>0.3</v>
      </c>
      <c r="AK78" s="1930">
        <v>0.3</v>
      </c>
      <c r="AL78" s="1930">
        <v>0.3</v>
      </c>
      <c r="AM78" s="1930">
        <v>0.3</v>
      </c>
      <c r="AN78" s="1930">
        <v>0.3</v>
      </c>
      <c r="AO78" s="1930">
        <v>0.3</v>
      </c>
      <c r="AP78" s="1930">
        <v>0.3</v>
      </c>
      <c r="AQ78" s="1994">
        <v>0.3</v>
      </c>
      <c r="AR78" s="1930">
        <v>0.3</v>
      </c>
      <c r="AS78" s="1934">
        <v>0.3</v>
      </c>
      <c r="AT78" s="1935">
        <v>0</v>
      </c>
      <c r="AU78" s="1934">
        <v>0</v>
      </c>
      <c r="AV78" s="1934">
        <v>0</v>
      </c>
      <c r="AW78"/>
      <c r="AX78" s="1928">
        <v>2</v>
      </c>
      <c r="AY78" s="1933" t="s">
        <v>2103</v>
      </c>
      <c r="AZ78" s="1957" t="s">
        <v>1666</v>
      </c>
      <c r="BA78" s="1934">
        <v>0.3</v>
      </c>
      <c r="BB78" s="1934">
        <v>0.3</v>
      </c>
      <c r="BC78" s="1934">
        <v>0.3</v>
      </c>
      <c r="BD78" s="1934">
        <v>0.3</v>
      </c>
      <c r="BE78" s="1934">
        <v>0.3</v>
      </c>
      <c r="BF78" s="1934">
        <v>0.3</v>
      </c>
      <c r="BG78" s="1934">
        <v>0.3</v>
      </c>
      <c r="BH78" s="1995">
        <v>0.3</v>
      </c>
      <c r="BI78" s="1934">
        <v>0.3</v>
      </c>
      <c r="BJ78" s="1934">
        <v>0.3</v>
      </c>
      <c r="BK78" s="1935"/>
      <c r="BL78" s="1934"/>
      <c r="BM78" s="1934"/>
      <c r="BN78"/>
      <c r="BO78" s="1928">
        <v>2</v>
      </c>
      <c r="BP78" s="1933" t="s">
        <v>2103</v>
      </c>
      <c r="BQ78" s="1957" t="s">
        <v>3740</v>
      </c>
      <c r="BR78" s="1934">
        <v>0.3</v>
      </c>
      <c r="BS78" s="1934">
        <v>0.3</v>
      </c>
      <c r="BT78" s="1934">
        <v>0.3</v>
      </c>
      <c r="BU78" s="1934">
        <v>0.3</v>
      </c>
      <c r="BV78" s="1934">
        <v>0.3</v>
      </c>
      <c r="BW78" s="1934">
        <v>0.3</v>
      </c>
      <c r="BX78" s="1934">
        <v>0.3</v>
      </c>
      <c r="BY78" s="1934">
        <v>0.3</v>
      </c>
      <c r="BZ78" s="1934">
        <v>0.3</v>
      </c>
      <c r="CA78" s="1934">
        <v>0.3</v>
      </c>
      <c r="CB78" s="1935"/>
      <c r="CC78" s="1934"/>
      <c r="CD78" s="1934"/>
      <c r="CE78" s="2301"/>
      <c r="CF78"/>
      <c r="CG78" s="1928">
        <v>2</v>
      </c>
      <c r="CH78" s="1933" t="s">
        <v>2103</v>
      </c>
      <c r="CI78" s="1957" t="s">
        <v>1689</v>
      </c>
      <c r="CJ78" s="2940">
        <v>0.25</v>
      </c>
      <c r="CK78" s="2940">
        <v>0.25</v>
      </c>
      <c r="CL78" s="2940">
        <v>0.25</v>
      </c>
      <c r="CM78" s="2940">
        <v>0.25</v>
      </c>
      <c r="CN78" s="2940">
        <v>0.25</v>
      </c>
      <c r="CO78" s="2940">
        <v>0.25</v>
      </c>
      <c r="CP78" s="2940">
        <v>0.25</v>
      </c>
      <c r="CQ78" s="2940">
        <v>0.25</v>
      </c>
      <c r="CR78" s="2940">
        <v>0.25</v>
      </c>
      <c r="CS78" s="2940">
        <v>0.25</v>
      </c>
      <c r="CT78" s="2942">
        <f t="shared" si="24"/>
        <v>0</v>
      </c>
      <c r="CU78" s="2940">
        <f t="shared" si="24"/>
        <v>0</v>
      </c>
      <c r="CV78" s="2940">
        <f t="shared" si="24"/>
        <v>0</v>
      </c>
      <c r="CW78" s="2445"/>
      <c r="CX78" s="1928">
        <v>2</v>
      </c>
      <c r="CY78" s="1933" t="s">
        <v>2103</v>
      </c>
      <c r="CZ78" s="1957" t="s">
        <v>1689</v>
      </c>
      <c r="DA78" s="2974">
        <v>0.2</v>
      </c>
      <c r="DB78" s="2940"/>
      <c r="DC78" s="2940"/>
      <c r="DD78" s="2940"/>
      <c r="DE78" s="2940"/>
      <c r="DF78" s="2940"/>
      <c r="DG78" s="2940"/>
      <c r="DH78" s="2940"/>
      <c r="DI78" s="2940"/>
      <c r="DJ78" s="2940"/>
      <c r="DK78" s="2942"/>
      <c r="DL78" s="2940"/>
      <c r="DM78" s="2940"/>
    </row>
    <row r="79" spans="1:117">
      <c r="B79" s="1914">
        <f t="shared" si="42"/>
        <v>2.1</v>
      </c>
      <c r="C79" s="1941" t="str">
        <f t="shared" si="36"/>
        <v>耐震･免震・制震・制振</v>
      </c>
      <c r="D79" s="1938">
        <f>IF(I$78=0,0,G79/I$78)</f>
        <v>0.5</v>
      </c>
      <c r="E79" s="1939">
        <f>IF(J$78=0,0,H79/J$78)</f>
        <v>0</v>
      </c>
      <c r="G79" s="1939">
        <f t="shared" si="37"/>
        <v>0.5</v>
      </c>
      <c r="H79" s="1939">
        <f t="shared" si="38"/>
        <v>0</v>
      </c>
      <c r="I79" s="1939">
        <f>SUM(G80:G81)</f>
        <v>1</v>
      </c>
      <c r="J79" s="1939">
        <f>SUM(H80:H81)</f>
        <v>0</v>
      </c>
      <c r="K79" s="1939">
        <f>IF(スコア!Q79=0,0,1)</f>
        <v>1</v>
      </c>
      <c r="L79" s="1939">
        <f>IF(スコア!T79=0,0,1)</f>
        <v>0</v>
      </c>
      <c r="M79" s="1939">
        <f t="shared" si="39"/>
        <v>0.5</v>
      </c>
      <c r="N79" s="1939">
        <f t="shared" si="40"/>
        <v>0</v>
      </c>
      <c r="P79" s="1940">
        <f t="shared" si="32"/>
        <v>2.1</v>
      </c>
      <c r="Q79" s="1940" t="str">
        <f t="shared" si="32"/>
        <v xml:space="preserve"> Q2 2</v>
      </c>
      <c r="R79" s="1941" t="str">
        <f t="shared" si="32"/>
        <v>耐震･免震・制震・制振</v>
      </c>
      <c r="S79" s="1942">
        <f t="shared" si="31"/>
        <v>0.5</v>
      </c>
      <c r="T79" s="1942">
        <f t="shared" si="31"/>
        <v>0.5</v>
      </c>
      <c r="U79" s="1942">
        <f t="shared" si="31"/>
        <v>0.5</v>
      </c>
      <c r="V79" s="1942">
        <f t="shared" si="31"/>
        <v>0.5</v>
      </c>
      <c r="W79" s="1942">
        <f t="shared" si="31"/>
        <v>0.5</v>
      </c>
      <c r="X79" s="1942">
        <f t="shared" si="31"/>
        <v>0.5</v>
      </c>
      <c r="Y79" s="1942">
        <f t="shared" si="31"/>
        <v>0.5</v>
      </c>
      <c r="Z79" s="1951">
        <f t="shared" si="31"/>
        <v>0.5</v>
      </c>
      <c r="AA79" s="1942">
        <f t="shared" si="31"/>
        <v>0.5</v>
      </c>
      <c r="AB79" s="1942">
        <f t="shared" si="31"/>
        <v>0.5</v>
      </c>
      <c r="AC79" s="1943">
        <f t="shared" si="31"/>
        <v>0</v>
      </c>
      <c r="AD79" s="1942">
        <f t="shared" si="31"/>
        <v>0</v>
      </c>
      <c r="AE79" s="1942">
        <f t="shared" si="31"/>
        <v>0</v>
      </c>
      <c r="AG79" s="1940">
        <v>2.1</v>
      </c>
      <c r="AH79" s="1944" t="s">
        <v>1690</v>
      </c>
      <c r="AI79" s="1941" t="s">
        <v>1820</v>
      </c>
      <c r="AJ79" s="1942">
        <v>0.25</v>
      </c>
      <c r="AK79" s="1942">
        <v>0.25</v>
      </c>
      <c r="AL79" s="1942">
        <v>0.25</v>
      </c>
      <c r="AM79" s="1942">
        <v>0.25</v>
      </c>
      <c r="AN79" s="1942">
        <v>0.25</v>
      </c>
      <c r="AO79" s="1942">
        <v>0.25</v>
      </c>
      <c r="AP79" s="1942">
        <v>0.25</v>
      </c>
      <c r="AQ79" s="1951">
        <v>0.25</v>
      </c>
      <c r="AR79" s="1942">
        <v>0.25</v>
      </c>
      <c r="AS79" s="1947">
        <v>0.25</v>
      </c>
      <c r="AT79" s="1948">
        <v>0</v>
      </c>
      <c r="AU79" s="1947">
        <v>0</v>
      </c>
      <c r="AV79" s="1947">
        <v>0</v>
      </c>
      <c r="AX79" s="1940">
        <v>2.1</v>
      </c>
      <c r="AY79" s="1944" t="s">
        <v>1690</v>
      </c>
      <c r="AZ79" s="1941" t="s">
        <v>1667</v>
      </c>
      <c r="BA79" s="1947">
        <v>0.5</v>
      </c>
      <c r="BB79" s="1947">
        <v>0.5</v>
      </c>
      <c r="BC79" s="1947">
        <v>0.5</v>
      </c>
      <c r="BD79" s="1947">
        <v>0.5</v>
      </c>
      <c r="BE79" s="1947">
        <v>0.5</v>
      </c>
      <c r="BF79" s="1947">
        <v>0.5</v>
      </c>
      <c r="BG79" s="1947">
        <v>0.5</v>
      </c>
      <c r="BH79" s="1954">
        <v>0.5</v>
      </c>
      <c r="BI79" s="1947">
        <v>0.5</v>
      </c>
      <c r="BJ79" s="1947">
        <v>0.5</v>
      </c>
      <c r="BK79" s="1948"/>
      <c r="BL79" s="1947"/>
      <c r="BM79" s="1947"/>
      <c r="BO79" s="1940">
        <v>2.1</v>
      </c>
      <c r="BP79" s="1944" t="s">
        <v>1690</v>
      </c>
      <c r="BQ79" s="1941" t="s">
        <v>3741</v>
      </c>
      <c r="BR79" s="1947">
        <v>0.5</v>
      </c>
      <c r="BS79" s="1947">
        <v>0.5</v>
      </c>
      <c r="BT79" s="1947">
        <v>0.5</v>
      </c>
      <c r="BU79" s="1947">
        <v>0.5</v>
      </c>
      <c r="BV79" s="1947">
        <v>0.5</v>
      </c>
      <c r="BW79" s="1947">
        <v>0.5</v>
      </c>
      <c r="BX79" s="1947">
        <v>0.5</v>
      </c>
      <c r="BY79" s="1954">
        <v>0.5</v>
      </c>
      <c r="BZ79" s="1947">
        <v>0.5</v>
      </c>
      <c r="CA79" s="1947">
        <v>0.5</v>
      </c>
      <c r="CB79" s="1948"/>
      <c r="CC79" s="1947"/>
      <c r="CD79" s="1947"/>
      <c r="CE79" s="2302"/>
      <c r="CG79" s="1940">
        <v>2.1</v>
      </c>
      <c r="CH79" s="1944" t="s">
        <v>1690</v>
      </c>
      <c r="CI79" s="1941" t="s">
        <v>3529</v>
      </c>
      <c r="CJ79" s="2945">
        <v>0.9</v>
      </c>
      <c r="CK79" s="2945">
        <v>0.9</v>
      </c>
      <c r="CL79" s="2945">
        <v>0.9</v>
      </c>
      <c r="CM79" s="2945">
        <v>0.9</v>
      </c>
      <c r="CN79" s="2945">
        <v>0.9</v>
      </c>
      <c r="CO79" s="2945">
        <v>0.9</v>
      </c>
      <c r="CP79" s="2945">
        <v>0.9</v>
      </c>
      <c r="CQ79" s="2945">
        <v>0.9</v>
      </c>
      <c r="CR79" s="2945">
        <v>0.9</v>
      </c>
      <c r="CS79" s="2945">
        <v>0.9</v>
      </c>
      <c r="CT79" s="2947">
        <f t="shared" si="24"/>
        <v>0</v>
      </c>
      <c r="CU79" s="2943">
        <f t="shared" si="24"/>
        <v>0</v>
      </c>
      <c r="CV79" s="2943">
        <f t="shared" si="24"/>
        <v>0</v>
      </c>
      <c r="CW79" s="2445"/>
      <c r="CX79" s="1940">
        <v>2.1</v>
      </c>
      <c r="CY79" s="1944" t="s">
        <v>1690</v>
      </c>
      <c r="CZ79" s="1941" t="s">
        <v>3529</v>
      </c>
      <c r="DA79" s="2944">
        <v>0.4</v>
      </c>
      <c r="DB79" s="2945"/>
      <c r="DC79" s="2945"/>
      <c r="DD79" s="2945"/>
      <c r="DE79" s="2945"/>
      <c r="DF79" s="2945"/>
      <c r="DG79" s="2945"/>
      <c r="DH79" s="2945"/>
      <c r="DI79" s="2945"/>
      <c r="DJ79" s="2945"/>
      <c r="DK79" s="2949"/>
      <c r="DL79" s="2945"/>
      <c r="DM79" s="2945"/>
    </row>
    <row r="80" spans="1:117">
      <c r="B80" s="1914" t="str">
        <f t="shared" si="42"/>
        <v>2.1.1</v>
      </c>
      <c r="C80" s="1937" t="str">
        <f t="shared" si="36"/>
        <v>耐震性</v>
      </c>
      <c r="D80" s="1927">
        <f>IF(I$79&gt;0,G80/I$79,0)</f>
        <v>0.8</v>
      </c>
      <c r="E80" s="1939">
        <f>IF(J$79&gt;0,H80/J$79,0)</f>
        <v>0</v>
      </c>
      <c r="G80" s="1939">
        <f t="shared" si="37"/>
        <v>0.8</v>
      </c>
      <c r="H80" s="1939">
        <f t="shared" si="38"/>
        <v>0</v>
      </c>
      <c r="I80" s="1939"/>
      <c r="J80" s="1939"/>
      <c r="K80" s="1939">
        <f>IF(スコア!Q80=0,0,1)</f>
        <v>1</v>
      </c>
      <c r="L80" s="1939">
        <f>IF(スコア!T80=0,0,1)</f>
        <v>0</v>
      </c>
      <c r="M80" s="1939">
        <f t="shared" si="39"/>
        <v>0.8</v>
      </c>
      <c r="N80" s="1939">
        <f t="shared" si="40"/>
        <v>0</v>
      </c>
      <c r="P80" s="1940" t="str">
        <f t="shared" si="32"/>
        <v>2.1.1</v>
      </c>
      <c r="Q80" s="1940" t="str">
        <f t="shared" si="32"/>
        <v xml:space="preserve"> Q2 2.1</v>
      </c>
      <c r="R80" s="1941" t="str">
        <f t="shared" si="32"/>
        <v>耐震性</v>
      </c>
      <c r="S80" s="1942">
        <f t="shared" si="31"/>
        <v>0.8</v>
      </c>
      <c r="T80" s="1942">
        <f t="shared" si="31"/>
        <v>0.8</v>
      </c>
      <c r="U80" s="1942">
        <f t="shared" si="31"/>
        <v>0.8</v>
      </c>
      <c r="V80" s="1942">
        <f t="shared" si="31"/>
        <v>0.8</v>
      </c>
      <c r="W80" s="1942">
        <f t="shared" si="31"/>
        <v>0.8</v>
      </c>
      <c r="X80" s="1942">
        <f t="shared" si="31"/>
        <v>0.8</v>
      </c>
      <c r="Y80" s="1942">
        <f t="shared" si="31"/>
        <v>0.8</v>
      </c>
      <c r="Z80" s="1951">
        <f t="shared" si="31"/>
        <v>0.8</v>
      </c>
      <c r="AA80" s="1942">
        <f t="shared" si="31"/>
        <v>0.8</v>
      </c>
      <c r="AB80" s="1942">
        <f t="shared" si="31"/>
        <v>0.8</v>
      </c>
      <c r="AC80" s="1943">
        <f t="shared" si="31"/>
        <v>0</v>
      </c>
      <c r="AD80" s="1942">
        <f t="shared" si="31"/>
        <v>0</v>
      </c>
      <c r="AE80" s="1942">
        <f t="shared" si="31"/>
        <v>0</v>
      </c>
      <c r="AG80" s="1940" t="s">
        <v>2249</v>
      </c>
      <c r="AH80" s="1944" t="s">
        <v>1691</v>
      </c>
      <c r="AI80" s="1945" t="s">
        <v>1692</v>
      </c>
      <c r="AJ80" s="1942">
        <v>0.8</v>
      </c>
      <c r="AK80" s="1942">
        <v>0.8</v>
      </c>
      <c r="AL80" s="1942">
        <v>0.8</v>
      </c>
      <c r="AM80" s="1942">
        <v>0.8</v>
      </c>
      <c r="AN80" s="1942">
        <v>0.8</v>
      </c>
      <c r="AO80" s="1942">
        <v>0.8</v>
      </c>
      <c r="AP80" s="1942">
        <v>0.8</v>
      </c>
      <c r="AQ80" s="1951">
        <v>0.8</v>
      </c>
      <c r="AR80" s="1942">
        <v>0.8</v>
      </c>
      <c r="AS80" s="1947">
        <v>0.8</v>
      </c>
      <c r="AT80" s="1948">
        <v>0</v>
      </c>
      <c r="AU80" s="1947">
        <v>0</v>
      </c>
      <c r="AV80" s="1947">
        <v>0</v>
      </c>
      <c r="AX80" s="1940" t="s">
        <v>2249</v>
      </c>
      <c r="AY80" s="1944" t="s">
        <v>1691</v>
      </c>
      <c r="AZ80" s="1945" t="s">
        <v>1692</v>
      </c>
      <c r="BA80" s="1947">
        <v>0.8</v>
      </c>
      <c r="BB80" s="1947">
        <v>0.8</v>
      </c>
      <c r="BC80" s="1947">
        <v>0.8</v>
      </c>
      <c r="BD80" s="1947">
        <v>0.8</v>
      </c>
      <c r="BE80" s="1947">
        <v>0.8</v>
      </c>
      <c r="BF80" s="1947">
        <v>0.8</v>
      </c>
      <c r="BG80" s="1947">
        <v>0.8</v>
      </c>
      <c r="BH80" s="1954">
        <v>0.8</v>
      </c>
      <c r="BI80" s="1947">
        <v>0.8</v>
      </c>
      <c r="BJ80" s="1947">
        <v>0.8</v>
      </c>
      <c r="BK80" s="1948"/>
      <c r="BL80" s="1947"/>
      <c r="BM80" s="1947"/>
      <c r="BO80" s="1940" t="s">
        <v>3672</v>
      </c>
      <c r="BP80" s="1944" t="s">
        <v>1691</v>
      </c>
      <c r="BQ80" s="1945" t="s">
        <v>1692</v>
      </c>
      <c r="BR80" s="1947">
        <v>0.8</v>
      </c>
      <c r="BS80" s="1947">
        <v>0.8</v>
      </c>
      <c r="BT80" s="1947">
        <v>0.8</v>
      </c>
      <c r="BU80" s="1947">
        <v>0.8</v>
      </c>
      <c r="BV80" s="1947">
        <v>0.8</v>
      </c>
      <c r="BW80" s="1947">
        <v>0.8</v>
      </c>
      <c r="BX80" s="1947">
        <v>0.8</v>
      </c>
      <c r="BY80" s="1954">
        <v>0.8</v>
      </c>
      <c r="BZ80" s="1947">
        <v>0.8</v>
      </c>
      <c r="CA80" s="1947">
        <v>0.8</v>
      </c>
      <c r="CB80" s="1948"/>
      <c r="CC80" s="1947"/>
      <c r="CD80" s="1947"/>
      <c r="CE80" s="2302"/>
      <c r="CG80" s="1940" t="s">
        <v>3530</v>
      </c>
      <c r="CH80" s="1944" t="s">
        <v>1691</v>
      </c>
      <c r="CI80" s="1945" t="s">
        <v>1692</v>
      </c>
      <c r="CJ80" s="2945">
        <v>1</v>
      </c>
      <c r="CK80" s="2945">
        <v>1</v>
      </c>
      <c r="CL80" s="2945">
        <v>1</v>
      </c>
      <c r="CM80" s="2945">
        <v>1</v>
      </c>
      <c r="CN80" s="2945">
        <v>1</v>
      </c>
      <c r="CO80" s="2945">
        <v>1</v>
      </c>
      <c r="CP80" s="2945">
        <v>1</v>
      </c>
      <c r="CQ80" s="2945">
        <v>1</v>
      </c>
      <c r="CR80" s="2945">
        <v>1</v>
      </c>
      <c r="CS80" s="2945">
        <v>1</v>
      </c>
      <c r="CT80" s="2947">
        <f t="shared" si="24"/>
        <v>0</v>
      </c>
      <c r="CU80" s="2943">
        <f t="shared" si="24"/>
        <v>0</v>
      </c>
      <c r="CV80" s="2943">
        <f t="shared" si="24"/>
        <v>0</v>
      </c>
      <c r="CW80" s="2445"/>
      <c r="CX80" s="1940" t="s">
        <v>3530</v>
      </c>
      <c r="CY80" s="1944" t="s">
        <v>1691</v>
      </c>
      <c r="CZ80" s="1945" t="s">
        <v>1692</v>
      </c>
      <c r="DA80" s="2945">
        <f t="shared" si="41"/>
        <v>0.8</v>
      </c>
      <c r="DB80" s="2945"/>
      <c r="DC80" s="2945"/>
      <c r="DD80" s="2945"/>
      <c r="DE80" s="2945"/>
      <c r="DF80" s="2945"/>
      <c r="DG80" s="2945"/>
      <c r="DH80" s="2945"/>
      <c r="DI80" s="2945"/>
      <c r="DJ80" s="2945"/>
      <c r="DK80" s="2949"/>
      <c r="DL80" s="2945"/>
      <c r="DM80" s="2945"/>
    </row>
    <row r="81" spans="1:117">
      <c r="B81" s="1914" t="str">
        <f t="shared" si="42"/>
        <v>2.1.2</v>
      </c>
      <c r="C81" s="1937" t="str">
        <f t="shared" si="36"/>
        <v>免震・制震・制振性能</v>
      </c>
      <c r="D81" s="1927">
        <f>IF(I$79&gt;0,G81/I$79,0)</f>
        <v>0.2</v>
      </c>
      <c r="E81" s="1939">
        <f>IF(J$79&gt;0,H81/J$79,0)</f>
        <v>0</v>
      </c>
      <c r="G81" s="1939">
        <f t="shared" si="37"/>
        <v>0.2</v>
      </c>
      <c r="H81" s="1939">
        <f t="shared" si="38"/>
        <v>0</v>
      </c>
      <c r="I81" s="1939"/>
      <c r="J81" s="1939"/>
      <c r="K81" s="1939">
        <f>IF(スコア!Q81=0,0,1)</f>
        <v>1</v>
      </c>
      <c r="L81" s="1939">
        <f>IF(スコア!T81=0,0,1)</f>
        <v>0</v>
      </c>
      <c r="M81" s="1939">
        <f t="shared" si="39"/>
        <v>0.2</v>
      </c>
      <c r="N81" s="1939">
        <f t="shared" si="40"/>
        <v>0</v>
      </c>
      <c r="P81" s="1940" t="str">
        <f t="shared" si="32"/>
        <v>2.1.2</v>
      </c>
      <c r="Q81" s="1940" t="str">
        <f t="shared" si="32"/>
        <v xml:space="preserve"> Q2 2.1</v>
      </c>
      <c r="R81" s="1941" t="str">
        <f t="shared" si="32"/>
        <v>免震・制震・制振性能</v>
      </c>
      <c r="S81" s="1942">
        <f t="shared" si="31"/>
        <v>0.2</v>
      </c>
      <c r="T81" s="1942">
        <f t="shared" si="31"/>
        <v>0.2</v>
      </c>
      <c r="U81" s="1942">
        <f t="shared" si="31"/>
        <v>0.2</v>
      </c>
      <c r="V81" s="1942">
        <f t="shared" si="31"/>
        <v>0.2</v>
      </c>
      <c r="W81" s="1942">
        <f t="shared" si="31"/>
        <v>0.2</v>
      </c>
      <c r="X81" s="1942">
        <f t="shared" si="31"/>
        <v>0.2</v>
      </c>
      <c r="Y81" s="1942">
        <f t="shared" si="31"/>
        <v>0.2</v>
      </c>
      <c r="Z81" s="1951">
        <f t="shared" si="31"/>
        <v>0.2</v>
      </c>
      <c r="AA81" s="1942">
        <f t="shared" si="31"/>
        <v>0.2</v>
      </c>
      <c r="AB81" s="1942">
        <f t="shared" si="31"/>
        <v>0.2</v>
      </c>
      <c r="AC81" s="1943">
        <f t="shared" si="31"/>
        <v>0</v>
      </c>
      <c r="AD81" s="1942">
        <f t="shared" si="31"/>
        <v>0</v>
      </c>
      <c r="AE81" s="1942">
        <f t="shared" si="31"/>
        <v>0</v>
      </c>
      <c r="AG81" s="1940" t="s">
        <v>2250</v>
      </c>
      <c r="AH81" s="1944" t="s">
        <v>1691</v>
      </c>
      <c r="AI81" s="1945" t="s">
        <v>1693</v>
      </c>
      <c r="AJ81" s="1942">
        <v>0.2</v>
      </c>
      <c r="AK81" s="1942">
        <v>0.2</v>
      </c>
      <c r="AL81" s="1942">
        <v>0.2</v>
      </c>
      <c r="AM81" s="1942">
        <v>0.2</v>
      </c>
      <c r="AN81" s="1942">
        <v>0.2</v>
      </c>
      <c r="AO81" s="1942">
        <v>0.2</v>
      </c>
      <c r="AP81" s="1942">
        <v>0.2</v>
      </c>
      <c r="AQ81" s="1951">
        <v>0.2</v>
      </c>
      <c r="AR81" s="1942">
        <v>0.2</v>
      </c>
      <c r="AS81" s="1947">
        <v>0.2</v>
      </c>
      <c r="AT81" s="1948">
        <v>0</v>
      </c>
      <c r="AU81" s="1947">
        <v>0</v>
      </c>
      <c r="AV81" s="1947">
        <v>0</v>
      </c>
      <c r="AX81" s="1940" t="s">
        <v>2251</v>
      </c>
      <c r="AY81" s="1944" t="s">
        <v>1691</v>
      </c>
      <c r="AZ81" s="1945" t="s">
        <v>1668</v>
      </c>
      <c r="BA81" s="1947">
        <v>0.2</v>
      </c>
      <c r="BB81" s="1947">
        <v>0.2</v>
      </c>
      <c r="BC81" s="1947">
        <v>0.2</v>
      </c>
      <c r="BD81" s="1947">
        <v>0.2</v>
      </c>
      <c r="BE81" s="1947">
        <v>0.2</v>
      </c>
      <c r="BF81" s="1947">
        <v>0.2</v>
      </c>
      <c r="BG81" s="1947">
        <v>0.2</v>
      </c>
      <c r="BH81" s="1954">
        <v>0.2</v>
      </c>
      <c r="BI81" s="1947">
        <v>0.2</v>
      </c>
      <c r="BJ81" s="1947">
        <v>0.2</v>
      </c>
      <c r="BK81" s="1948"/>
      <c r="BL81" s="1947"/>
      <c r="BM81" s="1947"/>
      <c r="BO81" s="1940" t="s">
        <v>395</v>
      </c>
      <c r="BP81" s="1944" t="s">
        <v>1691</v>
      </c>
      <c r="BQ81" s="1945" t="s">
        <v>3742</v>
      </c>
      <c r="BR81" s="1947">
        <v>0.2</v>
      </c>
      <c r="BS81" s="1947">
        <v>0.2</v>
      </c>
      <c r="BT81" s="1947">
        <v>0.2</v>
      </c>
      <c r="BU81" s="1947">
        <v>0.2</v>
      </c>
      <c r="BV81" s="1947">
        <v>0.2</v>
      </c>
      <c r="BW81" s="1947">
        <v>0.2</v>
      </c>
      <c r="BX81" s="1947">
        <v>0.2</v>
      </c>
      <c r="BY81" s="1954">
        <v>0.2</v>
      </c>
      <c r="BZ81" s="1947">
        <v>0.2</v>
      </c>
      <c r="CA81" s="1947">
        <v>0.2</v>
      </c>
      <c r="CB81" s="1948"/>
      <c r="CC81" s="1947"/>
      <c r="CD81" s="1947"/>
      <c r="CE81" s="2302"/>
      <c r="CG81" s="1940" t="s">
        <v>3531</v>
      </c>
      <c r="CH81" s="1944" t="s">
        <v>1691</v>
      </c>
      <c r="CI81" s="1945" t="s">
        <v>3532</v>
      </c>
      <c r="CJ81" s="2943">
        <v>0</v>
      </c>
      <c r="CK81" s="2943">
        <v>0</v>
      </c>
      <c r="CL81" s="2943">
        <v>0</v>
      </c>
      <c r="CM81" s="2943">
        <v>0</v>
      </c>
      <c r="CN81" s="2943">
        <v>0</v>
      </c>
      <c r="CO81" s="2943">
        <v>0</v>
      </c>
      <c r="CP81" s="2943">
        <v>0</v>
      </c>
      <c r="CQ81" s="2943">
        <v>0</v>
      </c>
      <c r="CR81" s="2943">
        <v>0</v>
      </c>
      <c r="CS81" s="2943">
        <v>0</v>
      </c>
      <c r="CT81" s="2947">
        <f t="shared" si="24"/>
        <v>0</v>
      </c>
      <c r="CU81" s="2943">
        <f t="shared" si="24"/>
        <v>0</v>
      </c>
      <c r="CV81" s="2943">
        <f t="shared" si="24"/>
        <v>0</v>
      </c>
      <c r="CW81" s="2445"/>
      <c r="CX81" s="1940" t="s">
        <v>3531</v>
      </c>
      <c r="CY81" s="1944" t="s">
        <v>1691</v>
      </c>
      <c r="CZ81" s="1945" t="s">
        <v>3532</v>
      </c>
      <c r="DA81" s="2945">
        <f t="shared" si="41"/>
        <v>0.2</v>
      </c>
      <c r="DB81" s="2945"/>
      <c r="DC81" s="2945"/>
      <c r="DD81" s="2945"/>
      <c r="DE81" s="2945"/>
      <c r="DF81" s="2945"/>
      <c r="DG81" s="2945"/>
      <c r="DH81" s="2945"/>
      <c r="DI81" s="2945"/>
      <c r="DJ81" s="2945"/>
      <c r="DK81" s="2949"/>
      <c r="DL81" s="2945"/>
      <c r="DM81" s="2945"/>
    </row>
    <row r="82" spans="1:117">
      <c r="B82" s="1914">
        <f t="shared" si="42"/>
        <v>2.2000000000000002</v>
      </c>
      <c r="C82" s="1941" t="str">
        <f t="shared" si="36"/>
        <v>部品・部材の耐用年数</v>
      </c>
      <c r="D82" s="1938">
        <f>IF(I$78=0,0,G82/I$78)</f>
        <v>0.3</v>
      </c>
      <c r="E82" s="1939">
        <f>IF(J$78=0,0,H82/J$78)</f>
        <v>0</v>
      </c>
      <c r="G82" s="1939">
        <f t="shared" si="37"/>
        <v>0.3</v>
      </c>
      <c r="H82" s="1939">
        <f t="shared" si="38"/>
        <v>0</v>
      </c>
      <c r="I82" s="1939">
        <f>SUM(G83:G88)</f>
        <v>1</v>
      </c>
      <c r="J82" s="1939">
        <f>SUM(H83:H88)</f>
        <v>0</v>
      </c>
      <c r="K82" s="1939">
        <f>IF(スコア!Q82=0,0,1)</f>
        <v>1</v>
      </c>
      <c r="L82" s="1939">
        <f>IF(スコア!T82=0,0,1)</f>
        <v>0</v>
      </c>
      <c r="M82" s="1939">
        <f t="shared" si="39"/>
        <v>0.3</v>
      </c>
      <c r="N82" s="1939">
        <f t="shared" si="40"/>
        <v>0</v>
      </c>
      <c r="P82" s="1940">
        <f t="shared" si="32"/>
        <v>2.2000000000000002</v>
      </c>
      <c r="Q82" s="1940" t="str">
        <f t="shared" si="32"/>
        <v xml:space="preserve"> Q2 2</v>
      </c>
      <c r="R82" s="1941" t="str">
        <f t="shared" si="32"/>
        <v>部品・部材の耐用年数</v>
      </c>
      <c r="S82" s="1942">
        <f t="shared" si="31"/>
        <v>0.3</v>
      </c>
      <c r="T82" s="1942">
        <f t="shared" si="31"/>
        <v>0.3</v>
      </c>
      <c r="U82" s="1942">
        <f t="shared" si="31"/>
        <v>0.3</v>
      </c>
      <c r="V82" s="1942">
        <f t="shared" si="31"/>
        <v>0.3</v>
      </c>
      <c r="W82" s="1942">
        <f t="shared" ref="W82:AE110" si="43">IF($P$3=1,BE82,IF($P$3=2,BV82,IF($P$3=3,CN82,IF($P$3=4,DE82,AN82))))</f>
        <v>0.3</v>
      </c>
      <c r="X82" s="1942">
        <f t="shared" si="43"/>
        <v>0.3</v>
      </c>
      <c r="Y82" s="1942">
        <f t="shared" si="43"/>
        <v>0.3</v>
      </c>
      <c r="Z82" s="1951">
        <f t="shared" si="43"/>
        <v>0.3</v>
      </c>
      <c r="AA82" s="1942">
        <f t="shared" si="43"/>
        <v>0.3</v>
      </c>
      <c r="AB82" s="1942">
        <f t="shared" si="43"/>
        <v>0.3</v>
      </c>
      <c r="AC82" s="1943">
        <f t="shared" si="43"/>
        <v>0</v>
      </c>
      <c r="AD82" s="1942">
        <f t="shared" si="43"/>
        <v>0</v>
      </c>
      <c r="AE82" s="1942">
        <f t="shared" si="43"/>
        <v>0</v>
      </c>
      <c r="AG82" s="1940">
        <v>2.2000000000000002</v>
      </c>
      <c r="AH82" s="1944" t="s">
        <v>1690</v>
      </c>
      <c r="AI82" s="1941" t="s">
        <v>1821</v>
      </c>
      <c r="AJ82" s="1942">
        <v>0.25</v>
      </c>
      <c r="AK82" s="1942">
        <v>0.25</v>
      </c>
      <c r="AL82" s="1942">
        <v>0.25</v>
      </c>
      <c r="AM82" s="1942">
        <v>0.25</v>
      </c>
      <c r="AN82" s="1942">
        <v>0.25</v>
      </c>
      <c r="AO82" s="1942">
        <v>0.25</v>
      </c>
      <c r="AP82" s="1942">
        <v>0.25</v>
      </c>
      <c r="AQ82" s="1951">
        <v>0.25</v>
      </c>
      <c r="AR82" s="1942">
        <v>0.25</v>
      </c>
      <c r="AS82" s="1947">
        <v>0.25</v>
      </c>
      <c r="AT82" s="1948">
        <v>0</v>
      </c>
      <c r="AU82" s="1947">
        <v>0</v>
      </c>
      <c r="AV82" s="1947">
        <v>0</v>
      </c>
      <c r="AX82" s="1940">
        <v>2.2000000000000002</v>
      </c>
      <c r="AY82" s="1944" t="s">
        <v>1690</v>
      </c>
      <c r="AZ82" s="1941" t="s">
        <v>1669</v>
      </c>
      <c r="BA82" s="1947">
        <v>0.3</v>
      </c>
      <c r="BB82" s="1947">
        <v>0.3</v>
      </c>
      <c r="BC82" s="1947">
        <v>0.3</v>
      </c>
      <c r="BD82" s="1947">
        <v>0.3</v>
      </c>
      <c r="BE82" s="1947">
        <v>0.3</v>
      </c>
      <c r="BF82" s="1947">
        <v>0.3</v>
      </c>
      <c r="BG82" s="1947">
        <v>0.3</v>
      </c>
      <c r="BH82" s="1954">
        <v>0.3</v>
      </c>
      <c r="BI82" s="1947">
        <v>0.3</v>
      </c>
      <c r="BJ82" s="1947">
        <v>0.3</v>
      </c>
      <c r="BK82" s="1948"/>
      <c r="BL82" s="1947"/>
      <c r="BM82" s="1947"/>
      <c r="BO82" s="1940">
        <v>2.2000000000000002</v>
      </c>
      <c r="BP82" s="1944" t="s">
        <v>1690</v>
      </c>
      <c r="BQ82" s="1941" t="s">
        <v>3743</v>
      </c>
      <c r="BR82" s="1947">
        <v>0.3</v>
      </c>
      <c r="BS82" s="1947">
        <v>0.3</v>
      </c>
      <c r="BT82" s="1947">
        <v>0.3</v>
      </c>
      <c r="BU82" s="1947">
        <v>0.3</v>
      </c>
      <c r="BV82" s="1947">
        <v>0.3</v>
      </c>
      <c r="BW82" s="1947">
        <v>0.3</v>
      </c>
      <c r="BX82" s="1947">
        <v>0.3</v>
      </c>
      <c r="BY82" s="1954">
        <v>0.3</v>
      </c>
      <c r="BZ82" s="1947">
        <v>0.3</v>
      </c>
      <c r="CA82" s="1947">
        <v>0.3</v>
      </c>
      <c r="CB82" s="1948"/>
      <c r="CC82" s="1947"/>
      <c r="CD82" s="1947"/>
      <c r="CE82" s="2302"/>
      <c r="CG82" s="1940">
        <v>2.2000000000000002</v>
      </c>
      <c r="CH82" s="1944" t="s">
        <v>1690</v>
      </c>
      <c r="CI82" s="1941" t="s">
        <v>1821</v>
      </c>
      <c r="CJ82" s="2943">
        <v>0</v>
      </c>
      <c r="CK82" s="2943">
        <v>0</v>
      </c>
      <c r="CL82" s="2943">
        <v>0</v>
      </c>
      <c r="CM82" s="2943">
        <v>0</v>
      </c>
      <c r="CN82" s="2943">
        <v>0</v>
      </c>
      <c r="CO82" s="2943">
        <v>0</v>
      </c>
      <c r="CP82" s="2943">
        <v>0</v>
      </c>
      <c r="CQ82" s="2943">
        <v>0</v>
      </c>
      <c r="CR82" s="2943">
        <v>0</v>
      </c>
      <c r="CS82" s="2943">
        <v>0</v>
      </c>
      <c r="CT82" s="2947">
        <f t="shared" si="24"/>
        <v>0</v>
      </c>
      <c r="CU82" s="2943">
        <f t="shared" si="24"/>
        <v>0</v>
      </c>
      <c r="CV82" s="2943">
        <f t="shared" si="24"/>
        <v>0</v>
      </c>
      <c r="CW82" s="2445"/>
      <c r="CX82" s="1940">
        <v>2.2000000000000002</v>
      </c>
      <c r="CY82" s="1944" t="s">
        <v>1690</v>
      </c>
      <c r="CZ82" s="1941" t="s">
        <v>1821</v>
      </c>
      <c r="DA82" s="2944">
        <v>0</v>
      </c>
      <c r="DB82" s="2945"/>
      <c r="DC82" s="2945"/>
      <c r="DD82" s="2945"/>
      <c r="DE82" s="2945"/>
      <c r="DF82" s="2945"/>
      <c r="DG82" s="2945"/>
      <c r="DH82" s="2945"/>
      <c r="DI82" s="2945"/>
      <c r="DJ82" s="2945"/>
      <c r="DK82" s="2949"/>
      <c r="DL82" s="2945"/>
      <c r="DM82" s="2945"/>
    </row>
    <row r="83" spans="1:117">
      <c r="B83" s="1914" t="str">
        <f t="shared" si="42"/>
        <v>2.2.1</v>
      </c>
      <c r="C83" s="1937" t="str">
        <f t="shared" si="36"/>
        <v>躯体材料の耐用年数</v>
      </c>
      <c r="D83" s="1927">
        <f t="shared" ref="D83:E88" si="44">IF(I$82&gt;0,G83/I$82,0)</f>
        <v>0.2</v>
      </c>
      <c r="E83" s="1939">
        <f t="shared" si="44"/>
        <v>0</v>
      </c>
      <c r="G83" s="1939">
        <f t="shared" si="37"/>
        <v>0.2</v>
      </c>
      <c r="H83" s="1939">
        <f t="shared" si="38"/>
        <v>0</v>
      </c>
      <c r="I83" s="1939"/>
      <c r="J83" s="1939"/>
      <c r="K83" s="1939">
        <f>IF(スコア!Q83=0,0,1)</f>
        <v>1</v>
      </c>
      <c r="L83" s="1939">
        <f>IF(スコア!T83=0,0,1)</f>
        <v>0</v>
      </c>
      <c r="M83" s="1939">
        <f t="shared" si="39"/>
        <v>0.2</v>
      </c>
      <c r="N83" s="1939">
        <f t="shared" si="40"/>
        <v>0</v>
      </c>
      <c r="P83" s="1940" t="str">
        <f t="shared" si="32"/>
        <v>2.2.1</v>
      </c>
      <c r="Q83" s="1940" t="str">
        <f t="shared" si="32"/>
        <v xml:space="preserve"> Q2 2.2</v>
      </c>
      <c r="R83" s="1941" t="str">
        <f t="shared" si="32"/>
        <v>躯体材料の耐用年数</v>
      </c>
      <c r="S83" s="1942">
        <f t="shared" si="32"/>
        <v>0.2</v>
      </c>
      <c r="T83" s="1942">
        <f t="shared" si="32"/>
        <v>0.2</v>
      </c>
      <c r="U83" s="1942">
        <f t="shared" si="32"/>
        <v>0.2</v>
      </c>
      <c r="V83" s="1942">
        <f t="shared" si="32"/>
        <v>0.2</v>
      </c>
      <c r="W83" s="1942">
        <f t="shared" si="43"/>
        <v>0.2</v>
      </c>
      <c r="X83" s="1942">
        <f t="shared" si="43"/>
        <v>0.2</v>
      </c>
      <c r="Y83" s="1942">
        <f t="shared" si="43"/>
        <v>0.2</v>
      </c>
      <c r="Z83" s="1951">
        <f t="shared" si="43"/>
        <v>0.2</v>
      </c>
      <c r="AA83" s="1942">
        <f t="shared" si="43"/>
        <v>0.2</v>
      </c>
      <c r="AB83" s="1942">
        <f t="shared" si="43"/>
        <v>0.2</v>
      </c>
      <c r="AC83" s="1943">
        <f t="shared" si="43"/>
        <v>0</v>
      </c>
      <c r="AD83" s="1942">
        <f t="shared" si="43"/>
        <v>0</v>
      </c>
      <c r="AE83" s="1942">
        <f t="shared" si="43"/>
        <v>0</v>
      </c>
      <c r="AG83" s="1940" t="s">
        <v>2252</v>
      </c>
      <c r="AH83" s="1944" t="s">
        <v>1694</v>
      </c>
      <c r="AI83" s="1945" t="s">
        <v>620</v>
      </c>
      <c r="AJ83" s="1943">
        <v>0.2</v>
      </c>
      <c r="AK83" s="1943">
        <v>0.2</v>
      </c>
      <c r="AL83" s="1943">
        <v>0.2</v>
      </c>
      <c r="AM83" s="1943">
        <v>0.2</v>
      </c>
      <c r="AN83" s="1943">
        <v>0.2</v>
      </c>
      <c r="AO83" s="1943">
        <v>0.2</v>
      </c>
      <c r="AP83" s="1943">
        <v>0.2</v>
      </c>
      <c r="AQ83" s="1943">
        <v>0.2</v>
      </c>
      <c r="AR83" s="1943">
        <v>0.2</v>
      </c>
      <c r="AS83" s="1947">
        <v>0.25</v>
      </c>
      <c r="AT83" s="1948">
        <v>0</v>
      </c>
      <c r="AU83" s="1947">
        <v>0</v>
      </c>
      <c r="AV83" s="1947">
        <v>0</v>
      </c>
      <c r="AX83" s="1940" t="s">
        <v>2253</v>
      </c>
      <c r="AY83" s="1944" t="s">
        <v>1694</v>
      </c>
      <c r="AZ83" s="1945" t="s">
        <v>1670</v>
      </c>
      <c r="BA83" s="1947">
        <v>0.2</v>
      </c>
      <c r="BB83" s="1947">
        <v>0.2</v>
      </c>
      <c r="BC83" s="1947">
        <v>0.2</v>
      </c>
      <c r="BD83" s="1947">
        <v>0.2</v>
      </c>
      <c r="BE83" s="1947">
        <v>0.2</v>
      </c>
      <c r="BF83" s="1947">
        <v>0.2</v>
      </c>
      <c r="BG83" s="1947">
        <v>0.2</v>
      </c>
      <c r="BH83" s="1947">
        <v>0.2</v>
      </c>
      <c r="BI83" s="1947">
        <v>0.2</v>
      </c>
      <c r="BJ83" s="1947">
        <v>0.2</v>
      </c>
      <c r="BK83" s="1948"/>
      <c r="BL83" s="1947"/>
      <c r="BM83" s="1947"/>
      <c r="BO83" s="1940" t="s">
        <v>3695</v>
      </c>
      <c r="BP83" s="1944" t="s">
        <v>1694</v>
      </c>
      <c r="BQ83" s="1945" t="s">
        <v>3744</v>
      </c>
      <c r="BR83" s="1947">
        <v>0.2</v>
      </c>
      <c r="BS83" s="1947">
        <v>0.2</v>
      </c>
      <c r="BT83" s="1947">
        <v>0.2</v>
      </c>
      <c r="BU83" s="1947">
        <v>0.2</v>
      </c>
      <c r="BV83" s="1947">
        <v>0.2</v>
      </c>
      <c r="BW83" s="1947">
        <v>0.2</v>
      </c>
      <c r="BX83" s="1947">
        <v>0.2</v>
      </c>
      <c r="BY83" s="1947">
        <v>0.2</v>
      </c>
      <c r="BZ83" s="1947">
        <v>0.2</v>
      </c>
      <c r="CA83" s="1947">
        <v>0.2</v>
      </c>
      <c r="CB83" s="1948"/>
      <c r="CC83" s="1947"/>
      <c r="CD83" s="1947"/>
      <c r="CE83" s="2302"/>
      <c r="CG83" s="1940" t="s">
        <v>3533</v>
      </c>
      <c r="CH83" s="1944" t="s">
        <v>1694</v>
      </c>
      <c r="CI83" s="1945" t="s">
        <v>620</v>
      </c>
      <c r="CJ83" s="2943">
        <v>0</v>
      </c>
      <c r="CK83" s="2943">
        <v>0</v>
      </c>
      <c r="CL83" s="2943">
        <v>0</v>
      </c>
      <c r="CM83" s="2943">
        <v>0</v>
      </c>
      <c r="CN83" s="2943">
        <v>0</v>
      </c>
      <c r="CO83" s="2943">
        <v>0</v>
      </c>
      <c r="CP83" s="2943">
        <v>0</v>
      </c>
      <c r="CQ83" s="2943">
        <v>0</v>
      </c>
      <c r="CR83" s="2943">
        <v>0</v>
      </c>
      <c r="CS83" s="2943">
        <v>0</v>
      </c>
      <c r="CT83" s="2943">
        <v>0</v>
      </c>
      <c r="CU83" s="2943">
        <f t="shared" si="24"/>
        <v>0</v>
      </c>
      <c r="CV83" s="2943">
        <f t="shared" si="24"/>
        <v>0</v>
      </c>
      <c r="CW83" s="2445"/>
      <c r="CX83" s="1940" t="s">
        <v>3534</v>
      </c>
      <c r="CY83" s="1944" t="s">
        <v>1694</v>
      </c>
      <c r="CZ83" s="1945" t="s">
        <v>620</v>
      </c>
      <c r="DA83" s="2944">
        <v>0</v>
      </c>
      <c r="DB83" s="2945"/>
      <c r="DC83" s="2945"/>
      <c r="DD83" s="2945"/>
      <c r="DE83" s="2945"/>
      <c r="DF83" s="2945"/>
      <c r="DG83" s="2945"/>
      <c r="DH83" s="2945"/>
      <c r="DI83" s="2945"/>
      <c r="DJ83" s="2945"/>
      <c r="DK83" s="2945"/>
      <c r="DL83" s="2945"/>
      <c r="DM83" s="2945"/>
    </row>
    <row r="84" spans="1:117">
      <c r="B84" s="1914" t="str">
        <f t="shared" si="42"/>
        <v>2.2.2</v>
      </c>
      <c r="C84" s="1937" t="str">
        <f t="shared" si="36"/>
        <v>外壁仕上げ材の補修必要間隔</v>
      </c>
      <c r="D84" s="1927">
        <f t="shared" si="44"/>
        <v>0.2</v>
      </c>
      <c r="E84" s="1939">
        <f t="shared" si="44"/>
        <v>0</v>
      </c>
      <c r="G84" s="1939">
        <f t="shared" si="37"/>
        <v>0.2</v>
      </c>
      <c r="H84" s="1939">
        <f t="shared" si="38"/>
        <v>0</v>
      </c>
      <c r="I84" s="1939"/>
      <c r="J84" s="1939"/>
      <c r="K84" s="1939">
        <f>IF(スコア!Q84=0,0,1)</f>
        <v>1</v>
      </c>
      <c r="L84" s="1939">
        <f>IF(スコア!T84=0,0,1)</f>
        <v>0</v>
      </c>
      <c r="M84" s="1939">
        <f t="shared" si="39"/>
        <v>0.2</v>
      </c>
      <c r="N84" s="1939">
        <f t="shared" si="40"/>
        <v>0</v>
      </c>
      <c r="P84" s="1940" t="str">
        <f t="shared" si="32"/>
        <v>2.2.2</v>
      </c>
      <c r="Q84" s="1940" t="str">
        <f t="shared" si="32"/>
        <v xml:space="preserve"> Q2 2.2</v>
      </c>
      <c r="R84" s="1941" t="str">
        <f t="shared" si="32"/>
        <v>外壁仕上げ材の補修必要間隔</v>
      </c>
      <c r="S84" s="1942">
        <f t="shared" si="32"/>
        <v>0.2</v>
      </c>
      <c r="T84" s="1942">
        <f t="shared" si="32"/>
        <v>0.2</v>
      </c>
      <c r="U84" s="1942">
        <f t="shared" si="32"/>
        <v>0.2</v>
      </c>
      <c r="V84" s="1942">
        <f t="shared" si="32"/>
        <v>0.2</v>
      </c>
      <c r="W84" s="1942">
        <f t="shared" si="43"/>
        <v>0.2</v>
      </c>
      <c r="X84" s="1942">
        <f t="shared" si="43"/>
        <v>0.2</v>
      </c>
      <c r="Y84" s="1942">
        <f t="shared" si="43"/>
        <v>0.2</v>
      </c>
      <c r="Z84" s="1951">
        <f t="shared" si="43"/>
        <v>0.2</v>
      </c>
      <c r="AA84" s="1942">
        <f t="shared" si="43"/>
        <v>0.2</v>
      </c>
      <c r="AB84" s="1942">
        <f t="shared" si="43"/>
        <v>0.2</v>
      </c>
      <c r="AC84" s="1943">
        <f t="shared" si="43"/>
        <v>0</v>
      </c>
      <c r="AD84" s="1942">
        <f t="shared" si="43"/>
        <v>0</v>
      </c>
      <c r="AE84" s="1942">
        <f t="shared" si="43"/>
        <v>0</v>
      </c>
      <c r="AG84" s="1940" t="s">
        <v>2254</v>
      </c>
      <c r="AH84" s="1944" t="s">
        <v>1694</v>
      </c>
      <c r="AI84" s="1945" t="s">
        <v>1695</v>
      </c>
      <c r="AJ84" s="1943">
        <v>0.2</v>
      </c>
      <c r="AK84" s="1943">
        <v>0.2</v>
      </c>
      <c r="AL84" s="1943">
        <v>0.2</v>
      </c>
      <c r="AM84" s="1943">
        <v>0.2</v>
      </c>
      <c r="AN84" s="1943">
        <v>0.2</v>
      </c>
      <c r="AO84" s="1943">
        <v>0.2</v>
      </c>
      <c r="AP84" s="1943">
        <v>0.2</v>
      </c>
      <c r="AQ84" s="1943">
        <v>0.2</v>
      </c>
      <c r="AR84" s="1943">
        <v>0.2</v>
      </c>
      <c r="AS84" s="1947">
        <v>0.25</v>
      </c>
      <c r="AT84" s="1948">
        <v>0</v>
      </c>
      <c r="AU84" s="1947">
        <v>0</v>
      </c>
      <c r="AV84" s="1947">
        <v>0</v>
      </c>
      <c r="AX84" s="1940" t="s">
        <v>2254</v>
      </c>
      <c r="AY84" s="1944" t="s">
        <v>1694</v>
      </c>
      <c r="AZ84" s="1945" t="s">
        <v>1695</v>
      </c>
      <c r="BA84" s="1947">
        <v>0.2</v>
      </c>
      <c r="BB84" s="1947">
        <v>0.2</v>
      </c>
      <c r="BC84" s="1947">
        <v>0.2</v>
      </c>
      <c r="BD84" s="1947">
        <v>0.2</v>
      </c>
      <c r="BE84" s="1947">
        <v>0.2</v>
      </c>
      <c r="BF84" s="1947">
        <v>0.2</v>
      </c>
      <c r="BG84" s="1947">
        <v>0.2</v>
      </c>
      <c r="BH84" s="1947">
        <v>0.2</v>
      </c>
      <c r="BI84" s="1947">
        <v>0.2</v>
      </c>
      <c r="BJ84" s="1947">
        <v>0.2</v>
      </c>
      <c r="BK84" s="1948"/>
      <c r="BL84" s="1947"/>
      <c r="BM84" s="1947"/>
      <c r="BO84" s="1940" t="s">
        <v>3696</v>
      </c>
      <c r="BP84" s="1944" t="s">
        <v>1694</v>
      </c>
      <c r="BQ84" s="1945" t="s">
        <v>1695</v>
      </c>
      <c r="BR84" s="1947">
        <v>0.2</v>
      </c>
      <c r="BS84" s="1947">
        <v>0.2</v>
      </c>
      <c r="BT84" s="1947">
        <v>0.2</v>
      </c>
      <c r="BU84" s="1947">
        <v>0.2</v>
      </c>
      <c r="BV84" s="1947">
        <v>0.2</v>
      </c>
      <c r="BW84" s="1947">
        <v>0.2</v>
      </c>
      <c r="BX84" s="1947">
        <v>0.2</v>
      </c>
      <c r="BY84" s="1947">
        <v>0.2</v>
      </c>
      <c r="BZ84" s="1947">
        <v>0.2</v>
      </c>
      <c r="CA84" s="1947">
        <v>0.2</v>
      </c>
      <c r="CB84" s="1948"/>
      <c r="CC84" s="1947"/>
      <c r="CD84" s="1947"/>
      <c r="CE84" s="2302"/>
      <c r="CG84" s="1940" t="s">
        <v>3535</v>
      </c>
      <c r="CH84" s="1944" t="s">
        <v>1694</v>
      </c>
      <c r="CI84" s="1945" t="s">
        <v>1695</v>
      </c>
      <c r="CJ84" s="2943">
        <v>0</v>
      </c>
      <c r="CK84" s="2943">
        <v>0</v>
      </c>
      <c r="CL84" s="2943">
        <v>0</v>
      </c>
      <c r="CM84" s="2943">
        <v>0</v>
      </c>
      <c r="CN84" s="2943">
        <v>0</v>
      </c>
      <c r="CO84" s="2943">
        <v>0</v>
      </c>
      <c r="CP84" s="2943">
        <v>0</v>
      </c>
      <c r="CQ84" s="2943">
        <v>0</v>
      </c>
      <c r="CR84" s="2943">
        <v>0</v>
      </c>
      <c r="CS84" s="2943">
        <v>0</v>
      </c>
      <c r="CT84" s="2943">
        <v>0</v>
      </c>
      <c r="CU84" s="2943">
        <f t="shared" si="24"/>
        <v>0</v>
      </c>
      <c r="CV84" s="2943">
        <f t="shared" si="24"/>
        <v>0</v>
      </c>
      <c r="CW84" s="2445"/>
      <c r="CX84" s="1940" t="s">
        <v>3535</v>
      </c>
      <c r="CY84" s="1944" t="s">
        <v>1694</v>
      </c>
      <c r="CZ84" s="1945" t="s">
        <v>1695</v>
      </c>
      <c r="DA84" s="2944">
        <v>0</v>
      </c>
      <c r="DB84" s="2945"/>
      <c r="DC84" s="2945"/>
      <c r="DD84" s="2945"/>
      <c r="DE84" s="2945"/>
      <c r="DF84" s="2945"/>
      <c r="DG84" s="2945"/>
      <c r="DH84" s="2945"/>
      <c r="DI84" s="2945"/>
      <c r="DJ84" s="2945"/>
      <c r="DK84" s="2945"/>
      <c r="DL84" s="2945"/>
      <c r="DM84" s="2945"/>
    </row>
    <row r="85" spans="1:117">
      <c r="B85" s="1914" t="str">
        <f t="shared" si="42"/>
        <v>2.2.3</v>
      </c>
      <c r="C85" s="1937" t="str">
        <f t="shared" si="36"/>
        <v>主要内装仕上げ材の更新必要間隔</v>
      </c>
      <c r="D85" s="1927">
        <f t="shared" si="44"/>
        <v>0.1</v>
      </c>
      <c r="E85" s="1939">
        <f t="shared" si="44"/>
        <v>0</v>
      </c>
      <c r="G85" s="1939">
        <f t="shared" si="37"/>
        <v>0.1</v>
      </c>
      <c r="H85" s="1939">
        <f t="shared" si="38"/>
        <v>0</v>
      </c>
      <c r="I85" s="1939"/>
      <c r="J85" s="1939"/>
      <c r="K85" s="1939">
        <f>IF(スコア!Q85=0,0,1)</f>
        <v>1</v>
      </c>
      <c r="L85" s="1939">
        <f>IF(スコア!T85=0,0,1)</f>
        <v>0</v>
      </c>
      <c r="M85" s="1939">
        <f t="shared" si="39"/>
        <v>0.1</v>
      </c>
      <c r="N85" s="1939">
        <f t="shared" si="40"/>
        <v>0</v>
      </c>
      <c r="P85" s="1940" t="str">
        <f t="shared" si="32"/>
        <v>2.2.3</v>
      </c>
      <c r="Q85" s="1940" t="str">
        <f t="shared" si="32"/>
        <v xml:space="preserve"> Q2 2.2</v>
      </c>
      <c r="R85" s="1941" t="str">
        <f t="shared" si="32"/>
        <v>主要内装仕上げ材の更新必要間隔</v>
      </c>
      <c r="S85" s="1942">
        <f t="shared" si="32"/>
        <v>0.1</v>
      </c>
      <c r="T85" s="1942">
        <f t="shared" si="32"/>
        <v>0.1</v>
      </c>
      <c r="U85" s="1942">
        <f t="shared" si="32"/>
        <v>0.1</v>
      </c>
      <c r="V85" s="1942">
        <f t="shared" si="32"/>
        <v>0.1</v>
      </c>
      <c r="W85" s="1942">
        <f t="shared" si="43"/>
        <v>0.1</v>
      </c>
      <c r="X85" s="1942">
        <f t="shared" si="43"/>
        <v>0.1</v>
      </c>
      <c r="Y85" s="1942">
        <f t="shared" si="43"/>
        <v>0.1</v>
      </c>
      <c r="Z85" s="1951">
        <f t="shared" si="43"/>
        <v>0.1</v>
      </c>
      <c r="AA85" s="1942">
        <f t="shared" si="43"/>
        <v>0.1</v>
      </c>
      <c r="AB85" s="1942">
        <f t="shared" si="43"/>
        <v>0.1</v>
      </c>
      <c r="AC85" s="1943">
        <f t="shared" si="43"/>
        <v>0</v>
      </c>
      <c r="AD85" s="1942">
        <f t="shared" si="43"/>
        <v>0</v>
      </c>
      <c r="AE85" s="1942">
        <f t="shared" si="43"/>
        <v>0</v>
      </c>
      <c r="AG85" s="1940" t="s">
        <v>2255</v>
      </c>
      <c r="AH85" s="1944" t="s">
        <v>1694</v>
      </c>
      <c r="AI85" s="1945" t="s">
        <v>1696</v>
      </c>
      <c r="AJ85" s="1952">
        <v>0</v>
      </c>
      <c r="AK85" s="1952">
        <v>0</v>
      </c>
      <c r="AL85" s="1952">
        <v>0</v>
      </c>
      <c r="AM85" s="1952">
        <v>0</v>
      </c>
      <c r="AN85" s="1952">
        <v>0</v>
      </c>
      <c r="AO85" s="1952">
        <v>0</v>
      </c>
      <c r="AP85" s="1952">
        <v>0</v>
      </c>
      <c r="AQ85" s="1952">
        <v>0</v>
      </c>
      <c r="AR85" s="1952">
        <v>0</v>
      </c>
      <c r="AS85" s="1947">
        <v>0</v>
      </c>
      <c r="AT85" s="1948">
        <v>0</v>
      </c>
      <c r="AU85" s="1947">
        <v>0</v>
      </c>
      <c r="AV85" s="1947">
        <v>0</v>
      </c>
      <c r="AX85" s="1940" t="s">
        <v>2255</v>
      </c>
      <c r="AY85" s="1944" t="s">
        <v>1694</v>
      </c>
      <c r="AZ85" s="1945" t="s">
        <v>1696</v>
      </c>
      <c r="BA85" s="1947">
        <v>0.1</v>
      </c>
      <c r="BB85" s="1947">
        <v>0.1</v>
      </c>
      <c r="BC85" s="1947">
        <v>0.1</v>
      </c>
      <c r="BD85" s="1947">
        <v>0.1</v>
      </c>
      <c r="BE85" s="1947">
        <v>0.1</v>
      </c>
      <c r="BF85" s="1947">
        <v>0.1</v>
      </c>
      <c r="BG85" s="1947">
        <v>0.1</v>
      </c>
      <c r="BH85" s="1947">
        <v>0.1</v>
      </c>
      <c r="BI85" s="1947">
        <v>0.1</v>
      </c>
      <c r="BJ85" s="1947">
        <v>0.1</v>
      </c>
      <c r="BK85" s="1948"/>
      <c r="BL85" s="1947"/>
      <c r="BM85" s="1947"/>
      <c r="BO85" s="1940" t="s">
        <v>3697</v>
      </c>
      <c r="BP85" s="1944" t="s">
        <v>1694</v>
      </c>
      <c r="BQ85" s="1945" t="s">
        <v>1696</v>
      </c>
      <c r="BR85" s="1947">
        <v>0.1</v>
      </c>
      <c r="BS85" s="1947">
        <v>0.1</v>
      </c>
      <c r="BT85" s="1947">
        <v>0.1</v>
      </c>
      <c r="BU85" s="1947">
        <v>0.1</v>
      </c>
      <c r="BV85" s="1947">
        <v>0.1</v>
      </c>
      <c r="BW85" s="1947">
        <v>0.1</v>
      </c>
      <c r="BX85" s="1947">
        <v>0.1</v>
      </c>
      <c r="BY85" s="1947">
        <v>0.1</v>
      </c>
      <c r="BZ85" s="1947">
        <v>0.1</v>
      </c>
      <c r="CA85" s="1947">
        <v>0.1</v>
      </c>
      <c r="CB85" s="1948"/>
      <c r="CC85" s="1947"/>
      <c r="CD85" s="1947"/>
      <c r="CE85" s="2302"/>
      <c r="CG85" s="1940" t="s">
        <v>3536</v>
      </c>
      <c r="CH85" s="1944" t="s">
        <v>1694</v>
      </c>
      <c r="CI85" s="1945" t="s">
        <v>1696</v>
      </c>
      <c r="CJ85" s="2943">
        <v>0</v>
      </c>
      <c r="CK85" s="2943">
        <v>0</v>
      </c>
      <c r="CL85" s="2943">
        <v>0</v>
      </c>
      <c r="CM85" s="2943">
        <v>0</v>
      </c>
      <c r="CN85" s="2943">
        <v>0</v>
      </c>
      <c r="CO85" s="2943">
        <v>0</v>
      </c>
      <c r="CP85" s="2943">
        <v>0</v>
      </c>
      <c r="CQ85" s="2943">
        <v>0</v>
      </c>
      <c r="CR85" s="2943">
        <v>0</v>
      </c>
      <c r="CS85" s="2943">
        <v>0</v>
      </c>
      <c r="CT85" s="2943">
        <v>0</v>
      </c>
      <c r="CU85" s="2943">
        <f t="shared" si="24"/>
        <v>0</v>
      </c>
      <c r="CV85" s="2943">
        <f t="shared" si="24"/>
        <v>0</v>
      </c>
      <c r="CW85" s="2445"/>
      <c r="CX85" s="1940" t="s">
        <v>3536</v>
      </c>
      <c r="CY85" s="1944" t="s">
        <v>1694</v>
      </c>
      <c r="CZ85" s="1945" t="s">
        <v>1696</v>
      </c>
      <c r="DA85" s="2944">
        <v>0</v>
      </c>
      <c r="DB85" s="2945"/>
      <c r="DC85" s="2945"/>
      <c r="DD85" s="2945"/>
      <c r="DE85" s="2945"/>
      <c r="DF85" s="2945"/>
      <c r="DG85" s="2945"/>
      <c r="DH85" s="2945"/>
      <c r="DI85" s="2945"/>
      <c r="DJ85" s="2945"/>
      <c r="DK85" s="2945"/>
      <c r="DL85" s="2945"/>
      <c r="DM85" s="2945"/>
    </row>
    <row r="86" spans="1:117" s="1992" customFormat="1">
      <c r="A86"/>
      <c r="B86" s="1914" t="str">
        <f t="shared" si="42"/>
        <v>2.2.4</v>
      </c>
      <c r="C86" s="1937" t="str">
        <f t="shared" si="36"/>
        <v>空調換気ダクトの更新必要間隔</v>
      </c>
      <c r="D86" s="1927">
        <f t="shared" si="44"/>
        <v>0.1</v>
      </c>
      <c r="E86" s="1939">
        <f t="shared" si="44"/>
        <v>0</v>
      </c>
      <c r="F86"/>
      <c r="G86" s="1939">
        <f t="shared" si="37"/>
        <v>0.1</v>
      </c>
      <c r="H86" s="1939">
        <f t="shared" si="38"/>
        <v>0</v>
      </c>
      <c r="I86" s="1939"/>
      <c r="J86" s="1939"/>
      <c r="K86" s="1939">
        <f>IF(スコア!Q86=0,0,1)</f>
        <v>1</v>
      </c>
      <c r="L86" s="1939">
        <f>IF(スコア!T86=0,0,1)</f>
        <v>0</v>
      </c>
      <c r="M86" s="1939">
        <f t="shared" si="39"/>
        <v>0.1</v>
      </c>
      <c r="N86" s="1939">
        <f t="shared" si="40"/>
        <v>0</v>
      </c>
      <c r="O86"/>
      <c r="P86" s="1940" t="str">
        <f t="shared" si="32"/>
        <v>2.2.4</v>
      </c>
      <c r="Q86" s="1940" t="str">
        <f t="shared" si="32"/>
        <v xml:space="preserve"> Q2 2.2</v>
      </c>
      <c r="R86" s="1941" t="str">
        <f t="shared" si="32"/>
        <v>空調換気ダクトの更新必要間隔</v>
      </c>
      <c r="S86" s="1942">
        <f t="shared" si="32"/>
        <v>0.1</v>
      </c>
      <c r="T86" s="1942">
        <f t="shared" si="32"/>
        <v>0.1</v>
      </c>
      <c r="U86" s="1942">
        <f t="shared" si="32"/>
        <v>0.1</v>
      </c>
      <c r="V86" s="1942">
        <f t="shared" si="32"/>
        <v>0.1</v>
      </c>
      <c r="W86" s="1942">
        <f t="shared" si="43"/>
        <v>0.1</v>
      </c>
      <c r="X86" s="1942">
        <f t="shared" si="43"/>
        <v>0.1</v>
      </c>
      <c r="Y86" s="1942">
        <f t="shared" si="43"/>
        <v>0.1</v>
      </c>
      <c r="Z86" s="1951">
        <f t="shared" si="43"/>
        <v>0.1</v>
      </c>
      <c r="AA86" s="1942">
        <f t="shared" si="43"/>
        <v>0.1</v>
      </c>
      <c r="AB86" s="1942">
        <f t="shared" si="43"/>
        <v>0.1</v>
      </c>
      <c r="AC86" s="1943">
        <f t="shared" si="43"/>
        <v>0</v>
      </c>
      <c r="AD86" s="1942">
        <f t="shared" si="43"/>
        <v>0</v>
      </c>
      <c r="AE86" s="1942">
        <f t="shared" si="43"/>
        <v>0</v>
      </c>
      <c r="AF86"/>
      <c r="AG86" s="1940" t="s">
        <v>2256</v>
      </c>
      <c r="AH86" s="1944" t="s">
        <v>1694</v>
      </c>
      <c r="AI86" s="1945" t="s">
        <v>1697</v>
      </c>
      <c r="AJ86" s="1943">
        <v>0.1</v>
      </c>
      <c r="AK86" s="1943">
        <v>0.1</v>
      </c>
      <c r="AL86" s="1943">
        <v>0.1</v>
      </c>
      <c r="AM86" s="1943">
        <v>0.1</v>
      </c>
      <c r="AN86" s="1943">
        <v>0.1</v>
      </c>
      <c r="AO86" s="1943">
        <v>0.1</v>
      </c>
      <c r="AP86" s="1943">
        <v>0.1</v>
      </c>
      <c r="AQ86" s="1943">
        <v>0.1</v>
      </c>
      <c r="AR86" s="1943">
        <v>0.1</v>
      </c>
      <c r="AS86" s="1947">
        <v>0.1</v>
      </c>
      <c r="AT86" s="1948">
        <v>0</v>
      </c>
      <c r="AU86" s="1947">
        <v>0</v>
      </c>
      <c r="AV86" s="1947">
        <v>0</v>
      </c>
      <c r="AW86"/>
      <c r="AX86" s="1940" t="s">
        <v>2257</v>
      </c>
      <c r="AY86" s="1944" t="s">
        <v>1694</v>
      </c>
      <c r="AZ86" s="1945" t="s">
        <v>1671</v>
      </c>
      <c r="BA86" s="1947">
        <v>0.1</v>
      </c>
      <c r="BB86" s="1947">
        <v>0.1</v>
      </c>
      <c r="BC86" s="1947">
        <v>0.1</v>
      </c>
      <c r="BD86" s="1947">
        <v>0.1</v>
      </c>
      <c r="BE86" s="1947">
        <v>0.1</v>
      </c>
      <c r="BF86" s="1947">
        <v>0.1</v>
      </c>
      <c r="BG86" s="1947">
        <v>0.1</v>
      </c>
      <c r="BH86" s="1947">
        <v>0.1</v>
      </c>
      <c r="BI86" s="1947">
        <v>0.1</v>
      </c>
      <c r="BJ86" s="1947">
        <v>0.1</v>
      </c>
      <c r="BK86" s="1948"/>
      <c r="BL86" s="1947"/>
      <c r="BM86" s="1947"/>
      <c r="BN86"/>
      <c r="BO86" s="1940" t="s">
        <v>3698</v>
      </c>
      <c r="BP86" s="1944" t="s">
        <v>1694</v>
      </c>
      <c r="BQ86" s="1945" t="s">
        <v>3745</v>
      </c>
      <c r="BR86" s="1947">
        <v>0.1</v>
      </c>
      <c r="BS86" s="1947">
        <v>0.1</v>
      </c>
      <c r="BT86" s="1947">
        <v>0.1</v>
      </c>
      <c r="BU86" s="1947">
        <v>0.1</v>
      </c>
      <c r="BV86" s="1947">
        <v>0.1</v>
      </c>
      <c r="BW86" s="1947">
        <v>0.1</v>
      </c>
      <c r="BX86" s="1947">
        <v>0.1</v>
      </c>
      <c r="BY86" s="1947">
        <v>0.1</v>
      </c>
      <c r="BZ86" s="1947">
        <v>0.1</v>
      </c>
      <c r="CA86" s="1947">
        <v>0.1</v>
      </c>
      <c r="CB86" s="1948"/>
      <c r="CC86" s="1947"/>
      <c r="CD86" s="1947"/>
      <c r="CE86" s="2302"/>
      <c r="CF86"/>
      <c r="CG86" s="1940" t="s">
        <v>3537</v>
      </c>
      <c r="CH86" s="1944" t="s">
        <v>1694</v>
      </c>
      <c r="CI86" s="1945" t="s">
        <v>1697</v>
      </c>
      <c r="CJ86" s="2943">
        <v>0</v>
      </c>
      <c r="CK86" s="2943">
        <v>0</v>
      </c>
      <c r="CL86" s="2943">
        <v>0</v>
      </c>
      <c r="CM86" s="2943">
        <v>0</v>
      </c>
      <c r="CN86" s="2943">
        <v>0</v>
      </c>
      <c r="CO86" s="2943">
        <v>0</v>
      </c>
      <c r="CP86" s="2943">
        <v>0</v>
      </c>
      <c r="CQ86" s="2943">
        <v>0</v>
      </c>
      <c r="CR86" s="2943">
        <v>0</v>
      </c>
      <c r="CS86" s="2943">
        <v>0</v>
      </c>
      <c r="CT86" s="2943">
        <v>0</v>
      </c>
      <c r="CU86" s="2943">
        <f t="shared" si="24"/>
        <v>0</v>
      </c>
      <c r="CV86" s="2943">
        <f t="shared" si="24"/>
        <v>0</v>
      </c>
      <c r="CW86" s="2445"/>
      <c r="CX86" s="1940" t="s">
        <v>3537</v>
      </c>
      <c r="CY86" s="1944" t="s">
        <v>1694</v>
      </c>
      <c r="CZ86" s="1945" t="s">
        <v>1697</v>
      </c>
      <c r="DA86" s="2944">
        <v>0</v>
      </c>
      <c r="DB86" s="2945"/>
      <c r="DC86" s="2945"/>
      <c r="DD86" s="2945"/>
      <c r="DE86" s="2945"/>
      <c r="DF86" s="2945"/>
      <c r="DG86" s="2945"/>
      <c r="DH86" s="2945"/>
      <c r="DI86" s="2945"/>
      <c r="DJ86" s="2945"/>
      <c r="DK86" s="2945"/>
      <c r="DL86" s="2945"/>
      <c r="DM86" s="2945"/>
    </row>
    <row r="87" spans="1:117" s="1992" customFormat="1">
      <c r="A87"/>
      <c r="B87" s="1914" t="str">
        <f t="shared" si="42"/>
        <v>2.2.5</v>
      </c>
      <c r="C87" s="1937" t="str">
        <f t="shared" si="36"/>
        <v>空調・給排水配管の更新必要間隔</v>
      </c>
      <c r="D87" s="1927">
        <f t="shared" si="44"/>
        <v>0.2</v>
      </c>
      <c r="E87" s="1939">
        <f t="shared" si="44"/>
        <v>0</v>
      </c>
      <c r="F87"/>
      <c r="G87" s="1939">
        <f t="shared" si="37"/>
        <v>0.2</v>
      </c>
      <c r="H87" s="1939">
        <f t="shared" si="38"/>
        <v>0</v>
      </c>
      <c r="I87" s="1939"/>
      <c r="J87" s="1939"/>
      <c r="K87" s="1939">
        <f>IF(スコア!Q88=0,0,1)</f>
        <v>1</v>
      </c>
      <c r="L87" s="1939">
        <f>IF(スコア!T88=0,0,1)</f>
        <v>0</v>
      </c>
      <c r="M87" s="1939">
        <f t="shared" si="39"/>
        <v>0.2</v>
      </c>
      <c r="N87" s="1939">
        <f t="shared" si="40"/>
        <v>0</v>
      </c>
      <c r="O87"/>
      <c r="P87" s="1940" t="str">
        <f t="shared" si="32"/>
        <v>2.2.5</v>
      </c>
      <c r="Q87" s="1940" t="str">
        <f t="shared" si="32"/>
        <v xml:space="preserve"> Q2 2.2</v>
      </c>
      <c r="R87" s="1941" t="str">
        <f t="shared" si="32"/>
        <v>空調・給排水配管の更新必要間隔</v>
      </c>
      <c r="S87" s="1942">
        <f t="shared" si="32"/>
        <v>0.2</v>
      </c>
      <c r="T87" s="1942">
        <f t="shared" si="32"/>
        <v>0.2</v>
      </c>
      <c r="U87" s="1942">
        <f t="shared" si="32"/>
        <v>0.2</v>
      </c>
      <c r="V87" s="1942">
        <f t="shared" si="32"/>
        <v>0.2</v>
      </c>
      <c r="W87" s="1942">
        <f t="shared" si="43"/>
        <v>0.2</v>
      </c>
      <c r="X87" s="1942">
        <f t="shared" si="43"/>
        <v>0.2</v>
      </c>
      <c r="Y87" s="1942">
        <f t="shared" si="43"/>
        <v>0.2</v>
      </c>
      <c r="Z87" s="1951">
        <f t="shared" si="43"/>
        <v>0.2</v>
      </c>
      <c r="AA87" s="1942">
        <f t="shared" si="43"/>
        <v>0.2</v>
      </c>
      <c r="AB87" s="1942">
        <f t="shared" si="43"/>
        <v>0.2</v>
      </c>
      <c r="AC87" s="1943">
        <f t="shared" si="43"/>
        <v>0</v>
      </c>
      <c r="AD87" s="1942">
        <f t="shared" si="43"/>
        <v>0</v>
      </c>
      <c r="AE87" s="1942">
        <f t="shared" si="43"/>
        <v>0</v>
      </c>
      <c r="AF87"/>
      <c r="AG87" s="1940" t="s">
        <v>2258</v>
      </c>
      <c r="AH87" s="1944" t="s">
        <v>1694</v>
      </c>
      <c r="AI87" s="1945" t="s">
        <v>1698</v>
      </c>
      <c r="AJ87" s="1943">
        <v>0.1</v>
      </c>
      <c r="AK87" s="1943">
        <v>0.1</v>
      </c>
      <c r="AL87" s="1943">
        <v>0.1</v>
      </c>
      <c r="AM87" s="1943">
        <v>0.1</v>
      </c>
      <c r="AN87" s="1943">
        <v>0.1</v>
      </c>
      <c r="AO87" s="1943">
        <v>0.1</v>
      </c>
      <c r="AP87" s="1943">
        <v>0.1</v>
      </c>
      <c r="AQ87" s="1943">
        <v>0.1</v>
      </c>
      <c r="AR87" s="1943">
        <v>0.1</v>
      </c>
      <c r="AS87" s="1947">
        <v>0.1</v>
      </c>
      <c r="AT87" s="1948"/>
      <c r="AU87" s="1947"/>
      <c r="AV87" s="1947"/>
      <c r="AW87"/>
      <c r="AX87" s="1940" t="s">
        <v>2259</v>
      </c>
      <c r="AY87" s="1944" t="s">
        <v>1694</v>
      </c>
      <c r="AZ87" s="1945" t="s">
        <v>1672</v>
      </c>
      <c r="BA87" s="1947">
        <v>0.2</v>
      </c>
      <c r="BB87" s="1947">
        <v>0.2</v>
      </c>
      <c r="BC87" s="1947">
        <v>0.2</v>
      </c>
      <c r="BD87" s="1947">
        <v>0.2</v>
      </c>
      <c r="BE87" s="1947">
        <v>0.2</v>
      </c>
      <c r="BF87" s="1947">
        <v>0.2</v>
      </c>
      <c r="BG87" s="1947">
        <v>0.2</v>
      </c>
      <c r="BH87" s="1947">
        <v>0.2</v>
      </c>
      <c r="BI87" s="1947">
        <v>0.2</v>
      </c>
      <c r="BJ87" s="1947">
        <v>0.2</v>
      </c>
      <c r="BK87" s="1948"/>
      <c r="BL87" s="1947"/>
      <c r="BM87" s="1947"/>
      <c r="BN87"/>
      <c r="BO87" s="1940" t="s">
        <v>3699</v>
      </c>
      <c r="BP87" s="1944" t="s">
        <v>1694</v>
      </c>
      <c r="BQ87" s="1945" t="s">
        <v>3746</v>
      </c>
      <c r="BR87" s="1947">
        <v>0.2</v>
      </c>
      <c r="BS87" s="1947">
        <v>0.2</v>
      </c>
      <c r="BT87" s="1947">
        <v>0.2</v>
      </c>
      <c r="BU87" s="1947">
        <v>0.2</v>
      </c>
      <c r="BV87" s="1947">
        <v>0.2</v>
      </c>
      <c r="BW87" s="1947">
        <v>0.2</v>
      </c>
      <c r="BX87" s="1947">
        <v>0.2</v>
      </c>
      <c r="BY87" s="1947">
        <v>0.2</v>
      </c>
      <c r="BZ87" s="1947">
        <v>0.2</v>
      </c>
      <c r="CA87" s="1947">
        <v>0.2</v>
      </c>
      <c r="CB87" s="1948"/>
      <c r="CC87" s="1947"/>
      <c r="CD87" s="1947"/>
      <c r="CE87" s="2302"/>
      <c r="CF87"/>
      <c r="CG87" s="1940" t="s">
        <v>3538</v>
      </c>
      <c r="CH87" s="1944" t="s">
        <v>1694</v>
      </c>
      <c r="CI87" s="1945" t="s">
        <v>1698</v>
      </c>
      <c r="CJ87" s="2943">
        <v>0</v>
      </c>
      <c r="CK87" s="2943">
        <v>0</v>
      </c>
      <c r="CL87" s="2943">
        <v>0</v>
      </c>
      <c r="CM87" s="2943">
        <v>0</v>
      </c>
      <c r="CN87" s="2943">
        <v>0</v>
      </c>
      <c r="CO87" s="2943">
        <v>0</v>
      </c>
      <c r="CP87" s="2943">
        <v>0</v>
      </c>
      <c r="CQ87" s="2943">
        <v>0</v>
      </c>
      <c r="CR87" s="2943">
        <v>0</v>
      </c>
      <c r="CS87" s="2943">
        <v>0</v>
      </c>
      <c r="CT87" s="2943">
        <v>0</v>
      </c>
      <c r="CU87" s="2943">
        <f t="shared" si="24"/>
        <v>0</v>
      </c>
      <c r="CV87" s="2943">
        <f t="shared" si="24"/>
        <v>0</v>
      </c>
      <c r="CW87" s="2445"/>
      <c r="CX87" s="1940" t="s">
        <v>3538</v>
      </c>
      <c r="CY87" s="1944" t="s">
        <v>1694</v>
      </c>
      <c r="CZ87" s="1945" t="s">
        <v>1698</v>
      </c>
      <c r="DA87" s="2944">
        <v>0</v>
      </c>
      <c r="DB87" s="2945"/>
      <c r="DC87" s="2945"/>
      <c r="DD87" s="2945"/>
      <c r="DE87" s="2945"/>
      <c r="DF87" s="2945"/>
      <c r="DG87" s="2945"/>
      <c r="DH87" s="2945"/>
      <c r="DI87" s="2945"/>
      <c r="DJ87" s="2945"/>
      <c r="DK87" s="2945"/>
      <c r="DL87" s="2945"/>
      <c r="DM87" s="2945"/>
    </row>
    <row r="88" spans="1:117">
      <c r="B88" s="1914" t="str">
        <f t="shared" si="42"/>
        <v>2.2.6</v>
      </c>
      <c r="C88" s="1996" t="str">
        <f t="shared" si="36"/>
        <v>主要設備機器の更新必要間隔</v>
      </c>
      <c r="D88" s="1927">
        <f t="shared" si="44"/>
        <v>0.2</v>
      </c>
      <c r="E88" s="1939">
        <f t="shared" si="44"/>
        <v>0</v>
      </c>
      <c r="G88" s="1939">
        <f t="shared" si="37"/>
        <v>0.2</v>
      </c>
      <c r="H88" s="1939">
        <f t="shared" si="38"/>
        <v>0</v>
      </c>
      <c r="I88" s="1939"/>
      <c r="J88" s="1939"/>
      <c r="K88" s="1939">
        <f>IF(スコア!Q88=0,0,1)</f>
        <v>1</v>
      </c>
      <c r="L88" s="1939">
        <f>IF(スコア!T88=0,0,1)</f>
        <v>0</v>
      </c>
      <c r="M88" s="1939">
        <f t="shared" si="39"/>
        <v>0.2</v>
      </c>
      <c r="N88" s="1939">
        <f t="shared" si="40"/>
        <v>0</v>
      </c>
      <c r="P88" s="1940" t="str">
        <f t="shared" si="32"/>
        <v>2.2.6</v>
      </c>
      <c r="Q88" s="1940" t="str">
        <f t="shared" si="32"/>
        <v xml:space="preserve"> Q2 2.2</v>
      </c>
      <c r="R88" s="1941" t="str">
        <f t="shared" si="32"/>
        <v>主要設備機器の更新必要間隔</v>
      </c>
      <c r="S88" s="1942">
        <f t="shared" si="32"/>
        <v>0.2</v>
      </c>
      <c r="T88" s="1942">
        <f t="shared" si="32"/>
        <v>0.2</v>
      </c>
      <c r="U88" s="1942">
        <f t="shared" si="32"/>
        <v>0.2</v>
      </c>
      <c r="V88" s="1942">
        <f t="shared" si="32"/>
        <v>0.2</v>
      </c>
      <c r="W88" s="1942">
        <f t="shared" si="43"/>
        <v>0.2</v>
      </c>
      <c r="X88" s="1942">
        <f t="shared" si="43"/>
        <v>0.2</v>
      </c>
      <c r="Y88" s="1942">
        <f t="shared" si="43"/>
        <v>0.2</v>
      </c>
      <c r="Z88" s="1951">
        <f t="shared" si="43"/>
        <v>0.2</v>
      </c>
      <c r="AA88" s="1942">
        <f t="shared" si="43"/>
        <v>0.2</v>
      </c>
      <c r="AB88" s="1942">
        <f t="shared" si="43"/>
        <v>0.2</v>
      </c>
      <c r="AC88" s="1943">
        <f t="shared" si="43"/>
        <v>0</v>
      </c>
      <c r="AD88" s="1942">
        <f t="shared" si="43"/>
        <v>0</v>
      </c>
      <c r="AE88" s="1942">
        <f t="shared" si="43"/>
        <v>0</v>
      </c>
      <c r="AG88" s="1940" t="s">
        <v>2260</v>
      </c>
      <c r="AH88" s="1944" t="s">
        <v>1694</v>
      </c>
      <c r="AI88" s="1945" t="s">
        <v>1699</v>
      </c>
      <c r="AJ88" s="1943">
        <v>0.2</v>
      </c>
      <c r="AK88" s="1943">
        <v>0.2</v>
      </c>
      <c r="AL88" s="1943">
        <v>0.2</v>
      </c>
      <c r="AM88" s="1943">
        <v>0.2</v>
      </c>
      <c r="AN88" s="1943">
        <v>0.2</v>
      </c>
      <c r="AO88" s="1943">
        <v>0.2</v>
      </c>
      <c r="AP88" s="1943">
        <v>0.2</v>
      </c>
      <c r="AQ88" s="1943">
        <v>0.2</v>
      </c>
      <c r="AR88" s="1943">
        <v>0.2</v>
      </c>
      <c r="AS88" s="1947">
        <v>0.25</v>
      </c>
      <c r="AT88" s="1948">
        <v>0</v>
      </c>
      <c r="AU88" s="1947">
        <v>0</v>
      </c>
      <c r="AV88" s="1947">
        <v>0</v>
      </c>
      <c r="AX88" s="1940" t="s">
        <v>2260</v>
      </c>
      <c r="AY88" s="1944" t="s">
        <v>1694</v>
      </c>
      <c r="AZ88" s="1945" t="s">
        <v>1699</v>
      </c>
      <c r="BA88" s="1947">
        <v>0.2</v>
      </c>
      <c r="BB88" s="1947">
        <v>0.2</v>
      </c>
      <c r="BC88" s="1947">
        <v>0.2</v>
      </c>
      <c r="BD88" s="1947">
        <v>0.2</v>
      </c>
      <c r="BE88" s="1947">
        <v>0.2</v>
      </c>
      <c r="BF88" s="1947">
        <v>0.2</v>
      </c>
      <c r="BG88" s="1947">
        <v>0.2</v>
      </c>
      <c r="BH88" s="1947">
        <v>0.2</v>
      </c>
      <c r="BI88" s="1947">
        <v>0.2</v>
      </c>
      <c r="BJ88" s="1947">
        <v>0.2</v>
      </c>
      <c r="BK88" s="1948"/>
      <c r="BL88" s="1947"/>
      <c r="BM88" s="1947"/>
      <c r="BO88" s="1940" t="s">
        <v>3700</v>
      </c>
      <c r="BP88" s="1944" t="s">
        <v>1694</v>
      </c>
      <c r="BQ88" s="1945" t="s">
        <v>1699</v>
      </c>
      <c r="BR88" s="1947">
        <v>0.2</v>
      </c>
      <c r="BS88" s="1947">
        <v>0.2</v>
      </c>
      <c r="BT88" s="1947">
        <v>0.2</v>
      </c>
      <c r="BU88" s="1947">
        <v>0.2</v>
      </c>
      <c r="BV88" s="1947">
        <v>0.2</v>
      </c>
      <c r="BW88" s="1947">
        <v>0.2</v>
      </c>
      <c r="BX88" s="1947">
        <v>0.2</v>
      </c>
      <c r="BY88" s="1947">
        <v>0.2</v>
      </c>
      <c r="BZ88" s="1947">
        <v>0.2</v>
      </c>
      <c r="CA88" s="1947">
        <v>0.2</v>
      </c>
      <c r="CB88" s="1948"/>
      <c r="CC88" s="1947"/>
      <c r="CD88" s="1947"/>
      <c r="CE88" s="2302"/>
      <c r="CG88" s="1940" t="s">
        <v>3539</v>
      </c>
      <c r="CH88" s="1944" t="s">
        <v>1694</v>
      </c>
      <c r="CI88" s="1945" t="s">
        <v>1699</v>
      </c>
      <c r="CJ88" s="2943">
        <v>0</v>
      </c>
      <c r="CK88" s="2943">
        <v>0</v>
      </c>
      <c r="CL88" s="2943">
        <v>0</v>
      </c>
      <c r="CM88" s="2943">
        <v>0</v>
      </c>
      <c r="CN88" s="2943">
        <v>0</v>
      </c>
      <c r="CO88" s="2943">
        <v>0</v>
      </c>
      <c r="CP88" s="2943">
        <v>0</v>
      </c>
      <c r="CQ88" s="2943">
        <v>0</v>
      </c>
      <c r="CR88" s="2943">
        <v>0</v>
      </c>
      <c r="CS88" s="2943">
        <v>0</v>
      </c>
      <c r="CT88" s="2943">
        <v>0</v>
      </c>
      <c r="CU88" s="2943">
        <f t="shared" si="24"/>
        <v>0</v>
      </c>
      <c r="CV88" s="2943">
        <f t="shared" si="24"/>
        <v>0</v>
      </c>
      <c r="CW88" s="2445"/>
      <c r="CX88" s="1940" t="s">
        <v>3539</v>
      </c>
      <c r="CY88" s="1944" t="s">
        <v>1694</v>
      </c>
      <c r="CZ88" s="1945" t="s">
        <v>1699</v>
      </c>
      <c r="DA88" s="2944">
        <v>0</v>
      </c>
      <c r="DB88" s="2945"/>
      <c r="DC88" s="2945"/>
      <c r="DD88" s="2945"/>
      <c r="DE88" s="2945"/>
      <c r="DF88" s="2945"/>
      <c r="DG88" s="2945"/>
      <c r="DH88" s="2945"/>
      <c r="DI88" s="2945"/>
      <c r="DJ88" s="2945"/>
      <c r="DK88" s="2945"/>
      <c r="DL88" s="2945"/>
      <c r="DM88" s="2945"/>
    </row>
    <row r="89" spans="1:117">
      <c r="B89" s="1914">
        <f t="shared" si="42"/>
        <v>2.2999999999999998</v>
      </c>
      <c r="C89" s="1996" t="str">
        <f t="shared" si="36"/>
        <v>適切な更新</v>
      </c>
      <c r="D89" s="1938">
        <f>IF(I$78=0,0,G89/I$78)</f>
        <v>0</v>
      </c>
      <c r="E89" s="1939">
        <f>IF(J$78=0,0,H89/J$78)</f>
        <v>0</v>
      </c>
      <c r="G89" s="1939">
        <f t="shared" si="37"/>
        <v>0</v>
      </c>
      <c r="H89" s="1939">
        <f t="shared" si="38"/>
        <v>0</v>
      </c>
      <c r="I89" s="1939">
        <f>G90+G91+G92</f>
        <v>0</v>
      </c>
      <c r="J89" s="1939">
        <f>H90+H91+H92</f>
        <v>0</v>
      </c>
      <c r="K89" s="1939">
        <f>IF(スコア!Q89=0,0,1)</f>
        <v>0</v>
      </c>
      <c r="L89" s="1939">
        <f>IF(スコア!T93=0,0,1)</f>
        <v>0</v>
      </c>
      <c r="M89" s="1939">
        <f t="shared" si="39"/>
        <v>0</v>
      </c>
      <c r="N89" s="1939">
        <f t="shared" si="40"/>
        <v>0</v>
      </c>
      <c r="P89" s="1940">
        <f t="shared" si="32"/>
        <v>2.2999999999999998</v>
      </c>
      <c r="Q89" s="1940" t="str">
        <f t="shared" si="32"/>
        <v xml:space="preserve"> Q2 2</v>
      </c>
      <c r="R89" s="1941" t="str">
        <f t="shared" si="32"/>
        <v>適切な更新</v>
      </c>
      <c r="S89" s="1942">
        <f t="shared" si="32"/>
        <v>0</v>
      </c>
      <c r="T89" s="1942">
        <f t="shared" si="32"/>
        <v>0</v>
      </c>
      <c r="U89" s="1942">
        <f t="shared" si="32"/>
        <v>0</v>
      </c>
      <c r="V89" s="1942">
        <f t="shared" si="32"/>
        <v>0</v>
      </c>
      <c r="W89" s="1942">
        <f t="shared" si="43"/>
        <v>0</v>
      </c>
      <c r="X89" s="1942">
        <f t="shared" si="43"/>
        <v>0</v>
      </c>
      <c r="Y89" s="1942">
        <f t="shared" si="43"/>
        <v>0</v>
      </c>
      <c r="Z89" s="1951">
        <f t="shared" si="43"/>
        <v>0</v>
      </c>
      <c r="AA89" s="1942">
        <f t="shared" si="43"/>
        <v>0</v>
      </c>
      <c r="AB89" s="1942">
        <f t="shared" si="43"/>
        <v>0</v>
      </c>
      <c r="AC89" s="1943">
        <f t="shared" si="43"/>
        <v>0</v>
      </c>
      <c r="AD89" s="1942">
        <f t="shared" si="43"/>
        <v>0</v>
      </c>
      <c r="AE89" s="1942">
        <f t="shared" si="43"/>
        <v>0</v>
      </c>
      <c r="AG89" s="1940">
        <v>2.2999999999999998</v>
      </c>
      <c r="AH89" s="1940" t="s">
        <v>2261</v>
      </c>
      <c r="AI89" s="1944" t="s">
        <v>626</v>
      </c>
      <c r="AJ89" s="1942">
        <v>0.25</v>
      </c>
      <c r="AK89" s="1942">
        <v>0.25</v>
      </c>
      <c r="AL89" s="1942">
        <v>0.25</v>
      </c>
      <c r="AM89" s="1942">
        <v>0.25</v>
      </c>
      <c r="AN89" s="1942">
        <v>0.25</v>
      </c>
      <c r="AO89" s="1942">
        <v>0.25</v>
      </c>
      <c r="AP89" s="1942">
        <v>0.25</v>
      </c>
      <c r="AQ89" s="1951">
        <v>0.25</v>
      </c>
      <c r="AR89" s="1942">
        <v>0.25</v>
      </c>
      <c r="AS89" s="1947">
        <v>0.25</v>
      </c>
      <c r="AT89" s="1947"/>
      <c r="AU89" s="1948"/>
      <c r="AV89" s="1947"/>
      <c r="AX89" s="1968">
        <v>2.2999999999999998</v>
      </c>
      <c r="AY89" s="1997" t="s">
        <v>1690</v>
      </c>
      <c r="AZ89" s="1973" t="s">
        <v>1673</v>
      </c>
      <c r="BA89" s="1974">
        <v>0</v>
      </c>
      <c r="BB89" s="1974">
        <v>0</v>
      </c>
      <c r="BC89" s="1974">
        <v>0</v>
      </c>
      <c r="BD89" s="1974">
        <v>0</v>
      </c>
      <c r="BE89" s="1974">
        <v>0</v>
      </c>
      <c r="BF89" s="1974">
        <v>0</v>
      </c>
      <c r="BG89" s="1974">
        <v>0</v>
      </c>
      <c r="BH89" s="1974">
        <v>0</v>
      </c>
      <c r="BI89" s="1974">
        <v>0</v>
      </c>
      <c r="BJ89" s="1974">
        <v>0</v>
      </c>
      <c r="BK89" s="1976"/>
      <c r="BL89" s="1974"/>
      <c r="BM89" s="1974"/>
      <c r="BO89" s="1968">
        <v>2.2999999999999998</v>
      </c>
      <c r="BP89" s="1997" t="s">
        <v>1690</v>
      </c>
      <c r="BQ89" s="1973" t="s">
        <v>3747</v>
      </c>
      <c r="BR89" s="1974">
        <v>0</v>
      </c>
      <c r="BS89" s="1974">
        <v>0</v>
      </c>
      <c r="BT89" s="1974">
        <v>0</v>
      </c>
      <c r="BU89" s="1974">
        <v>0</v>
      </c>
      <c r="BV89" s="1974">
        <v>0</v>
      </c>
      <c r="BW89" s="1974">
        <v>0</v>
      </c>
      <c r="BX89" s="1974">
        <v>0</v>
      </c>
      <c r="BY89" s="1974">
        <v>0</v>
      </c>
      <c r="BZ89" s="1974">
        <v>0</v>
      </c>
      <c r="CA89" s="1974">
        <v>0</v>
      </c>
      <c r="CB89" s="1974"/>
      <c r="CC89" s="1974"/>
      <c r="CD89" s="1974"/>
      <c r="CE89" s="2302"/>
      <c r="CG89" s="1968">
        <v>2.2999999999999998</v>
      </c>
      <c r="CH89" s="1997" t="s">
        <v>1690</v>
      </c>
      <c r="CI89" s="1973" t="s">
        <v>626</v>
      </c>
      <c r="CJ89" s="2958">
        <f t="shared" si="25"/>
        <v>0</v>
      </c>
      <c r="CK89" s="2958">
        <f t="shared" si="25"/>
        <v>0</v>
      </c>
      <c r="CL89" s="2958">
        <f t="shared" si="25"/>
        <v>0</v>
      </c>
      <c r="CM89" s="2958">
        <f t="shared" si="25"/>
        <v>0</v>
      </c>
      <c r="CN89" s="2958">
        <f t="shared" si="24"/>
        <v>0</v>
      </c>
      <c r="CO89" s="2958">
        <f t="shared" si="24"/>
        <v>0</v>
      </c>
      <c r="CP89" s="2958">
        <f t="shared" si="24"/>
        <v>0</v>
      </c>
      <c r="CQ89" s="2958">
        <f t="shared" si="24"/>
        <v>0</v>
      </c>
      <c r="CR89" s="2958">
        <f t="shared" si="24"/>
        <v>0</v>
      </c>
      <c r="CS89" s="2958">
        <f t="shared" si="24"/>
        <v>0</v>
      </c>
      <c r="CT89" s="2958">
        <f t="shared" si="24"/>
        <v>0</v>
      </c>
      <c r="CU89" s="2958">
        <f t="shared" si="24"/>
        <v>0</v>
      </c>
      <c r="CV89" s="2958">
        <f t="shared" si="24"/>
        <v>0</v>
      </c>
      <c r="CW89" s="2445"/>
      <c r="CX89" s="1968">
        <v>2.2999999999999998</v>
      </c>
      <c r="CY89" s="1997" t="s">
        <v>1690</v>
      </c>
      <c r="CZ89" s="1973" t="s">
        <v>626</v>
      </c>
      <c r="DA89" s="2961">
        <f t="shared" si="41"/>
        <v>0</v>
      </c>
      <c r="DB89" s="2961"/>
      <c r="DC89" s="2961"/>
      <c r="DD89" s="2961"/>
      <c r="DE89" s="2961"/>
      <c r="DF89" s="2961"/>
      <c r="DG89" s="2961"/>
      <c r="DH89" s="2961"/>
      <c r="DI89" s="2961"/>
      <c r="DJ89" s="2961"/>
      <c r="DK89" s="2961"/>
      <c r="DL89" s="2961"/>
      <c r="DM89" s="2961"/>
    </row>
    <row r="90" spans="1:117" hidden="1">
      <c r="B90" s="1914" t="str">
        <f t="shared" si="42"/>
        <v>2.3.1</v>
      </c>
      <c r="C90" s="1996">
        <f t="shared" si="36"/>
        <v>0</v>
      </c>
      <c r="D90" s="1927">
        <f>IF(I$89&gt;0,G90/I$89,0)</f>
        <v>0</v>
      </c>
      <c r="E90" s="1939">
        <f>IF(J$89&gt;0,H90/J$89,0)</f>
        <v>0</v>
      </c>
      <c r="G90" s="1939">
        <f t="shared" si="37"/>
        <v>0</v>
      </c>
      <c r="H90" s="1939">
        <f t="shared" si="38"/>
        <v>0</v>
      </c>
      <c r="I90" s="1939"/>
      <c r="J90" s="1939"/>
      <c r="K90" s="1939">
        <f>IF(スコア!Q90=0,0,1)</f>
        <v>1</v>
      </c>
      <c r="L90" s="1939">
        <f>IF(スコア!T94=0,0,1)</f>
        <v>0</v>
      </c>
      <c r="M90" s="1939">
        <f t="shared" si="39"/>
        <v>0</v>
      </c>
      <c r="N90" s="1939">
        <f t="shared" si="40"/>
        <v>0</v>
      </c>
      <c r="P90" s="1940" t="str">
        <f t="shared" si="32"/>
        <v>2.3.1</v>
      </c>
      <c r="Q90" s="1940" t="str">
        <f t="shared" si="32"/>
        <v xml:space="preserve"> Q2 2.3</v>
      </c>
      <c r="R90" s="1941">
        <f t="shared" si="32"/>
        <v>0</v>
      </c>
      <c r="S90" s="1942">
        <f t="shared" si="32"/>
        <v>0</v>
      </c>
      <c r="T90" s="1942">
        <f t="shared" si="32"/>
        <v>0</v>
      </c>
      <c r="U90" s="1942">
        <f t="shared" si="32"/>
        <v>0</v>
      </c>
      <c r="V90" s="1942">
        <f t="shared" si="32"/>
        <v>0</v>
      </c>
      <c r="W90" s="1942">
        <f t="shared" si="43"/>
        <v>0</v>
      </c>
      <c r="X90" s="1942">
        <f t="shared" si="43"/>
        <v>0</v>
      </c>
      <c r="Y90" s="1942">
        <f t="shared" si="43"/>
        <v>0</v>
      </c>
      <c r="Z90" s="1951">
        <f t="shared" si="43"/>
        <v>0</v>
      </c>
      <c r="AA90" s="1942">
        <f t="shared" si="43"/>
        <v>0</v>
      </c>
      <c r="AB90" s="1942">
        <f t="shared" si="43"/>
        <v>0</v>
      </c>
      <c r="AC90" s="1943">
        <f t="shared" si="43"/>
        <v>0</v>
      </c>
      <c r="AD90" s="1942">
        <f t="shared" si="43"/>
        <v>0</v>
      </c>
      <c r="AE90" s="1942">
        <f t="shared" si="43"/>
        <v>0</v>
      </c>
      <c r="AG90" s="1940" t="s">
        <v>2262</v>
      </c>
      <c r="AH90" s="1940" t="s">
        <v>2263</v>
      </c>
      <c r="AI90" s="1944" t="s">
        <v>63</v>
      </c>
      <c r="AJ90" s="1985">
        <v>0.33333333333333331</v>
      </c>
      <c r="AK90" s="1985">
        <v>0.33333333333333331</v>
      </c>
      <c r="AL90" s="1985">
        <v>0.33333333333333331</v>
      </c>
      <c r="AM90" s="1985">
        <v>0.33333333333333331</v>
      </c>
      <c r="AN90" s="1985">
        <v>0.33333333333333331</v>
      </c>
      <c r="AO90" s="1985">
        <v>0.33333333333333331</v>
      </c>
      <c r="AP90" s="1985">
        <v>0.33333333333333331</v>
      </c>
      <c r="AQ90" s="1985">
        <v>0.33333333333333331</v>
      </c>
      <c r="AR90" s="1985">
        <v>0.33333333333333331</v>
      </c>
      <c r="AS90" s="1947">
        <v>0.33333333333333331</v>
      </c>
      <c r="AT90" s="1947"/>
      <c r="AU90" s="1948"/>
      <c r="AV90" s="1947"/>
      <c r="AX90" s="1968" t="s">
        <v>2264</v>
      </c>
      <c r="AY90" s="683" t="s">
        <v>1700</v>
      </c>
      <c r="AZ90" s="1973" t="s">
        <v>1674</v>
      </c>
      <c r="BA90" s="1974">
        <v>0</v>
      </c>
      <c r="BB90" s="1974">
        <v>0</v>
      </c>
      <c r="BC90" s="1974">
        <v>0</v>
      </c>
      <c r="BD90" s="1974">
        <v>0</v>
      </c>
      <c r="BE90" s="1974">
        <v>0</v>
      </c>
      <c r="BF90" s="1974">
        <v>0</v>
      </c>
      <c r="BG90" s="1974">
        <v>0</v>
      </c>
      <c r="BH90" s="1974">
        <v>0</v>
      </c>
      <c r="BI90" s="1974">
        <v>0</v>
      </c>
      <c r="BJ90" s="1974">
        <v>0</v>
      </c>
      <c r="BK90" s="1976"/>
      <c r="BL90" s="1974"/>
      <c r="BM90" s="1974"/>
      <c r="BO90" s="1968" t="s">
        <v>3673</v>
      </c>
      <c r="BP90" s="683" t="s">
        <v>1700</v>
      </c>
      <c r="BQ90" s="1973"/>
      <c r="BR90" s="1974">
        <v>0</v>
      </c>
      <c r="BS90" s="1974">
        <v>0</v>
      </c>
      <c r="BT90" s="1974">
        <v>0</v>
      </c>
      <c r="BU90" s="1974">
        <v>0</v>
      </c>
      <c r="BV90" s="1974">
        <v>0</v>
      </c>
      <c r="BW90" s="1974">
        <v>0</v>
      </c>
      <c r="BX90" s="1974">
        <v>0</v>
      </c>
      <c r="BY90" s="1974">
        <v>0</v>
      </c>
      <c r="BZ90" s="1974">
        <v>0</v>
      </c>
      <c r="CA90" s="1974">
        <v>0</v>
      </c>
      <c r="CB90" s="1974"/>
      <c r="CC90" s="1974"/>
      <c r="CD90" s="1974"/>
      <c r="CE90" s="2302"/>
      <c r="CG90" s="1968" t="s">
        <v>3540</v>
      </c>
      <c r="CH90" s="683" t="s">
        <v>1700</v>
      </c>
      <c r="CI90" s="1973"/>
      <c r="CJ90" s="2958">
        <f t="shared" si="25"/>
        <v>0</v>
      </c>
      <c r="CK90" s="2958">
        <f t="shared" si="25"/>
        <v>0</v>
      </c>
      <c r="CL90" s="2958">
        <f t="shared" si="25"/>
        <v>0</v>
      </c>
      <c r="CM90" s="2958">
        <f t="shared" si="25"/>
        <v>0</v>
      </c>
      <c r="CN90" s="2958">
        <f t="shared" si="24"/>
        <v>0</v>
      </c>
      <c r="CO90" s="2958">
        <f t="shared" si="24"/>
        <v>0</v>
      </c>
      <c r="CP90" s="2958">
        <f t="shared" si="24"/>
        <v>0</v>
      </c>
      <c r="CQ90" s="2958">
        <f t="shared" si="24"/>
        <v>0</v>
      </c>
      <c r="CR90" s="2958">
        <f t="shared" si="24"/>
        <v>0</v>
      </c>
      <c r="CS90" s="2958">
        <f t="shared" si="24"/>
        <v>0</v>
      </c>
      <c r="CT90" s="2958">
        <f t="shared" si="24"/>
        <v>0</v>
      </c>
      <c r="CU90" s="2958">
        <f t="shared" si="24"/>
        <v>0</v>
      </c>
      <c r="CV90" s="2958">
        <f t="shared" si="24"/>
        <v>0</v>
      </c>
      <c r="CW90" s="2445"/>
      <c r="CX90" s="1968" t="s">
        <v>3540</v>
      </c>
      <c r="CY90" s="683" t="s">
        <v>1700</v>
      </c>
      <c r="CZ90" s="1973" t="s">
        <v>63</v>
      </c>
      <c r="DA90" s="2961">
        <f t="shared" si="41"/>
        <v>0</v>
      </c>
      <c r="DB90" s="2961"/>
      <c r="DC90" s="2961"/>
      <c r="DD90" s="2961"/>
      <c r="DE90" s="2961"/>
      <c r="DF90" s="2961"/>
      <c r="DG90" s="2961"/>
      <c r="DH90" s="2961"/>
      <c r="DI90" s="2961"/>
      <c r="DJ90" s="2961"/>
      <c r="DK90" s="2961"/>
      <c r="DL90" s="2961"/>
      <c r="DM90" s="2961"/>
    </row>
    <row r="91" spans="1:117" hidden="1">
      <c r="B91" s="1914" t="str">
        <f t="shared" si="42"/>
        <v>2.3.2</v>
      </c>
      <c r="C91" s="1996">
        <f t="shared" si="36"/>
        <v>0</v>
      </c>
      <c r="D91" s="1927">
        <f t="shared" ref="D91:D92" si="45">IF(I$89&gt;0,G91/I$89,0)</f>
        <v>0</v>
      </c>
      <c r="E91" s="1939">
        <f>IF(J$89&gt;0,H91/J$89,0)</f>
        <v>0</v>
      </c>
      <c r="G91" s="1939">
        <f t="shared" si="37"/>
        <v>0</v>
      </c>
      <c r="H91" s="1939">
        <f t="shared" si="38"/>
        <v>0</v>
      </c>
      <c r="I91" s="1939"/>
      <c r="J91" s="1939"/>
      <c r="K91" s="1939">
        <f>IF(スコア!Q91=0,0,1)</f>
        <v>1</v>
      </c>
      <c r="L91" s="1939">
        <f>IF(スコア!T95=0,0,1)</f>
        <v>0</v>
      </c>
      <c r="M91" s="1939">
        <f t="shared" si="39"/>
        <v>0</v>
      </c>
      <c r="N91" s="1939">
        <f t="shared" si="40"/>
        <v>0</v>
      </c>
      <c r="P91" s="1940" t="str">
        <f t="shared" si="32"/>
        <v>2.3.2</v>
      </c>
      <c r="Q91" s="1940" t="str">
        <f t="shared" si="32"/>
        <v xml:space="preserve"> Q2 2.3</v>
      </c>
      <c r="R91" s="1941">
        <f t="shared" si="32"/>
        <v>0</v>
      </c>
      <c r="S91" s="1942">
        <f t="shared" si="32"/>
        <v>0</v>
      </c>
      <c r="T91" s="1942">
        <f t="shared" si="32"/>
        <v>0</v>
      </c>
      <c r="U91" s="1942">
        <f t="shared" si="32"/>
        <v>0</v>
      </c>
      <c r="V91" s="1942">
        <f t="shared" si="32"/>
        <v>0</v>
      </c>
      <c r="W91" s="1942">
        <f t="shared" si="43"/>
        <v>0</v>
      </c>
      <c r="X91" s="1942">
        <f t="shared" si="43"/>
        <v>0</v>
      </c>
      <c r="Y91" s="1942">
        <f t="shared" si="43"/>
        <v>0</v>
      </c>
      <c r="Z91" s="1951">
        <f t="shared" si="43"/>
        <v>0</v>
      </c>
      <c r="AA91" s="1942">
        <f t="shared" si="43"/>
        <v>0</v>
      </c>
      <c r="AB91" s="1942">
        <f t="shared" si="43"/>
        <v>0</v>
      </c>
      <c r="AC91" s="1943">
        <f t="shared" si="43"/>
        <v>0</v>
      </c>
      <c r="AD91" s="1942">
        <f t="shared" si="43"/>
        <v>0</v>
      </c>
      <c r="AE91" s="1942">
        <f t="shared" si="43"/>
        <v>0</v>
      </c>
      <c r="AG91" s="1940" t="s">
        <v>2265</v>
      </c>
      <c r="AH91" s="1940" t="s">
        <v>2266</v>
      </c>
      <c r="AI91" s="1944" t="s">
        <v>64</v>
      </c>
      <c r="AJ91" s="1985">
        <v>0.33333333333333331</v>
      </c>
      <c r="AK91" s="1985">
        <v>0.33333333333333331</v>
      </c>
      <c r="AL91" s="1985">
        <v>0.33333333333333331</v>
      </c>
      <c r="AM91" s="1985">
        <v>0.33333333333333331</v>
      </c>
      <c r="AN91" s="1985">
        <v>0.33333333333333331</v>
      </c>
      <c r="AO91" s="1985">
        <v>0.33333333333333331</v>
      </c>
      <c r="AP91" s="1985">
        <v>0.33333333333333331</v>
      </c>
      <c r="AQ91" s="1985">
        <v>0.33333333333333331</v>
      </c>
      <c r="AR91" s="1985">
        <v>0.33333333333333331</v>
      </c>
      <c r="AS91" s="1947">
        <v>0.33333333333333331</v>
      </c>
      <c r="AT91" s="1947"/>
      <c r="AU91" s="1948"/>
      <c r="AV91" s="1947"/>
      <c r="AX91" s="1968" t="s">
        <v>1142</v>
      </c>
      <c r="AY91" s="683" t="s">
        <v>1700</v>
      </c>
      <c r="AZ91" s="1973" t="s">
        <v>1675</v>
      </c>
      <c r="BA91" s="1974">
        <v>0</v>
      </c>
      <c r="BB91" s="1974">
        <v>0</v>
      </c>
      <c r="BC91" s="1974">
        <v>0</v>
      </c>
      <c r="BD91" s="1974">
        <v>0</v>
      </c>
      <c r="BE91" s="1974">
        <v>0</v>
      </c>
      <c r="BF91" s="1974">
        <v>0</v>
      </c>
      <c r="BG91" s="1974">
        <v>0</v>
      </c>
      <c r="BH91" s="1974">
        <v>0</v>
      </c>
      <c r="BI91" s="1974">
        <v>0</v>
      </c>
      <c r="BJ91" s="1974">
        <v>0</v>
      </c>
      <c r="BK91" s="1976"/>
      <c r="BL91" s="1974"/>
      <c r="BM91" s="1974"/>
      <c r="BO91" s="1968" t="s">
        <v>3674</v>
      </c>
      <c r="BP91" s="683" t="s">
        <v>1700</v>
      </c>
      <c r="BQ91" s="1973"/>
      <c r="BR91" s="1974">
        <v>0</v>
      </c>
      <c r="BS91" s="1974">
        <v>0</v>
      </c>
      <c r="BT91" s="1974">
        <v>0</v>
      </c>
      <c r="BU91" s="1974">
        <v>0</v>
      </c>
      <c r="BV91" s="1974">
        <v>0</v>
      </c>
      <c r="BW91" s="1974">
        <v>0</v>
      </c>
      <c r="BX91" s="1974">
        <v>0</v>
      </c>
      <c r="BY91" s="1974">
        <v>0</v>
      </c>
      <c r="BZ91" s="1974">
        <v>0</v>
      </c>
      <c r="CA91" s="1974">
        <v>0</v>
      </c>
      <c r="CB91" s="1974"/>
      <c r="CC91" s="1974"/>
      <c r="CD91" s="1974"/>
      <c r="CE91" s="2302"/>
      <c r="CG91" s="1968" t="s">
        <v>3541</v>
      </c>
      <c r="CH91" s="683" t="s">
        <v>1700</v>
      </c>
      <c r="CI91" s="1973"/>
      <c r="CJ91" s="2958">
        <f t="shared" si="25"/>
        <v>0</v>
      </c>
      <c r="CK91" s="2958">
        <f t="shared" si="25"/>
        <v>0</v>
      </c>
      <c r="CL91" s="2958">
        <f t="shared" si="25"/>
        <v>0</v>
      </c>
      <c r="CM91" s="2958">
        <f t="shared" si="25"/>
        <v>0</v>
      </c>
      <c r="CN91" s="2958">
        <f t="shared" si="24"/>
        <v>0</v>
      </c>
      <c r="CO91" s="2958">
        <f t="shared" si="24"/>
        <v>0</v>
      </c>
      <c r="CP91" s="2958">
        <f t="shared" si="24"/>
        <v>0</v>
      </c>
      <c r="CQ91" s="2958">
        <f t="shared" si="24"/>
        <v>0</v>
      </c>
      <c r="CR91" s="2958">
        <f t="shared" si="24"/>
        <v>0</v>
      </c>
      <c r="CS91" s="2958">
        <f t="shared" si="24"/>
        <v>0</v>
      </c>
      <c r="CT91" s="2958">
        <f t="shared" si="24"/>
        <v>0</v>
      </c>
      <c r="CU91" s="2958">
        <f t="shared" si="24"/>
        <v>0</v>
      </c>
      <c r="CV91" s="2958">
        <f t="shared" si="24"/>
        <v>0</v>
      </c>
      <c r="CW91" s="2445"/>
      <c r="CX91" s="1968" t="s">
        <v>3541</v>
      </c>
      <c r="CY91" s="683" t="s">
        <v>1700</v>
      </c>
      <c r="CZ91" s="1973" t="s">
        <v>64</v>
      </c>
      <c r="DA91" s="2961">
        <f t="shared" si="41"/>
        <v>0</v>
      </c>
      <c r="DB91" s="2961"/>
      <c r="DC91" s="2961"/>
      <c r="DD91" s="2961"/>
      <c r="DE91" s="2961"/>
      <c r="DF91" s="2961"/>
      <c r="DG91" s="2961"/>
      <c r="DH91" s="2961"/>
      <c r="DI91" s="2961"/>
      <c r="DJ91" s="2961"/>
      <c r="DK91" s="2961"/>
      <c r="DL91" s="2961"/>
      <c r="DM91" s="2961"/>
    </row>
    <row r="92" spans="1:117" hidden="1">
      <c r="B92" s="1914" t="str">
        <f t="shared" si="42"/>
        <v>2.3.3</v>
      </c>
      <c r="C92" s="1996">
        <f t="shared" si="36"/>
        <v>0</v>
      </c>
      <c r="D92" s="1927">
        <f t="shared" si="45"/>
        <v>0</v>
      </c>
      <c r="E92" s="1939">
        <f>IF(J$89&gt;0,H92/J$89,0)</f>
        <v>0</v>
      </c>
      <c r="G92" s="1939">
        <f t="shared" si="37"/>
        <v>0</v>
      </c>
      <c r="H92" s="1939">
        <f t="shared" si="38"/>
        <v>0</v>
      </c>
      <c r="I92" s="1939"/>
      <c r="J92" s="1939"/>
      <c r="K92" s="1939">
        <f>IF(スコア!Q92=0,0,1)</f>
        <v>1</v>
      </c>
      <c r="L92" s="1939">
        <f>IF(スコア!T96=0,0,1)</f>
        <v>0</v>
      </c>
      <c r="M92" s="1939">
        <f t="shared" si="39"/>
        <v>0</v>
      </c>
      <c r="N92" s="1939">
        <f t="shared" si="40"/>
        <v>0</v>
      </c>
      <c r="P92" s="1940" t="str">
        <f t="shared" si="32"/>
        <v>2.3.3</v>
      </c>
      <c r="Q92" s="1940" t="str">
        <f t="shared" si="32"/>
        <v xml:space="preserve"> Q2 2.3</v>
      </c>
      <c r="R92" s="1941">
        <f t="shared" si="32"/>
        <v>0</v>
      </c>
      <c r="S92" s="1942">
        <f t="shared" si="32"/>
        <v>0</v>
      </c>
      <c r="T92" s="1942">
        <f t="shared" si="32"/>
        <v>0</v>
      </c>
      <c r="U92" s="1942">
        <f t="shared" si="32"/>
        <v>0</v>
      </c>
      <c r="V92" s="1942">
        <f t="shared" si="32"/>
        <v>0</v>
      </c>
      <c r="W92" s="1942">
        <f t="shared" si="43"/>
        <v>0</v>
      </c>
      <c r="X92" s="1942">
        <f t="shared" si="43"/>
        <v>0</v>
      </c>
      <c r="Y92" s="1942">
        <f t="shared" si="43"/>
        <v>0</v>
      </c>
      <c r="Z92" s="1951">
        <f t="shared" si="43"/>
        <v>0</v>
      </c>
      <c r="AA92" s="1942">
        <f t="shared" si="43"/>
        <v>0</v>
      </c>
      <c r="AB92" s="1942">
        <f t="shared" si="43"/>
        <v>0</v>
      </c>
      <c r="AC92" s="1943">
        <f t="shared" si="43"/>
        <v>0</v>
      </c>
      <c r="AD92" s="1942">
        <f t="shared" si="43"/>
        <v>0</v>
      </c>
      <c r="AE92" s="1942">
        <f t="shared" si="43"/>
        <v>0</v>
      </c>
      <c r="AG92" s="1940" t="s">
        <v>1143</v>
      </c>
      <c r="AH92" s="1940" t="s">
        <v>1144</v>
      </c>
      <c r="AI92" s="1944" t="s">
        <v>1701</v>
      </c>
      <c r="AJ92" s="1985">
        <v>0.33333333333333331</v>
      </c>
      <c r="AK92" s="1985">
        <v>0.33333333333333331</v>
      </c>
      <c r="AL92" s="1985">
        <v>0.33333333333333331</v>
      </c>
      <c r="AM92" s="1985">
        <v>0.33333333333333331</v>
      </c>
      <c r="AN92" s="1985">
        <v>0.33333333333333331</v>
      </c>
      <c r="AO92" s="1985">
        <v>0.33333333333333331</v>
      </c>
      <c r="AP92" s="1985">
        <v>0.33333333333333331</v>
      </c>
      <c r="AQ92" s="1985">
        <v>0.33333333333333331</v>
      </c>
      <c r="AR92" s="1985">
        <v>0.33333333333333331</v>
      </c>
      <c r="AS92" s="1947">
        <v>0.33333333333333331</v>
      </c>
      <c r="AT92" s="1947"/>
      <c r="AU92" s="1948"/>
      <c r="AV92" s="1947"/>
      <c r="AX92" s="1968" t="s">
        <v>1145</v>
      </c>
      <c r="AY92" s="683" t="s">
        <v>1700</v>
      </c>
      <c r="AZ92" s="1973" t="s">
        <v>1676</v>
      </c>
      <c r="BA92" s="1974">
        <v>0</v>
      </c>
      <c r="BB92" s="1974">
        <v>0</v>
      </c>
      <c r="BC92" s="1974">
        <v>0</v>
      </c>
      <c r="BD92" s="1974">
        <v>0</v>
      </c>
      <c r="BE92" s="1974">
        <v>0</v>
      </c>
      <c r="BF92" s="1974">
        <v>0</v>
      </c>
      <c r="BG92" s="1974">
        <v>0</v>
      </c>
      <c r="BH92" s="1974">
        <v>0</v>
      </c>
      <c r="BI92" s="1974">
        <v>0</v>
      </c>
      <c r="BJ92" s="1974">
        <v>0</v>
      </c>
      <c r="BK92" s="1976"/>
      <c r="BL92" s="1974"/>
      <c r="BM92" s="1974"/>
      <c r="BO92" s="1968" t="s">
        <v>3701</v>
      </c>
      <c r="BP92" s="683" t="s">
        <v>1700</v>
      </c>
      <c r="BQ92" s="1973"/>
      <c r="BR92" s="1974">
        <v>0</v>
      </c>
      <c r="BS92" s="1974">
        <v>0</v>
      </c>
      <c r="BT92" s="1974">
        <v>0</v>
      </c>
      <c r="BU92" s="1974">
        <v>0</v>
      </c>
      <c r="BV92" s="1974">
        <v>0</v>
      </c>
      <c r="BW92" s="1974">
        <v>0</v>
      </c>
      <c r="BX92" s="1974">
        <v>0</v>
      </c>
      <c r="BY92" s="1974">
        <v>0</v>
      </c>
      <c r="BZ92" s="1974">
        <v>0</v>
      </c>
      <c r="CA92" s="1974">
        <v>0</v>
      </c>
      <c r="CB92" s="1974"/>
      <c r="CC92" s="1974"/>
      <c r="CD92" s="1974"/>
      <c r="CE92" s="2302"/>
      <c r="CG92" s="1968" t="s">
        <v>3542</v>
      </c>
      <c r="CH92" s="683" t="s">
        <v>1700</v>
      </c>
      <c r="CI92" s="1973"/>
      <c r="CJ92" s="2958">
        <f t="shared" si="25"/>
        <v>0</v>
      </c>
      <c r="CK92" s="2958">
        <f t="shared" si="25"/>
        <v>0</v>
      </c>
      <c r="CL92" s="2958">
        <f t="shared" si="25"/>
        <v>0</v>
      </c>
      <c r="CM92" s="2958">
        <f t="shared" si="25"/>
        <v>0</v>
      </c>
      <c r="CN92" s="2958">
        <f t="shared" si="24"/>
        <v>0</v>
      </c>
      <c r="CO92" s="2958">
        <f t="shared" si="24"/>
        <v>0</v>
      </c>
      <c r="CP92" s="2958">
        <f t="shared" si="24"/>
        <v>0</v>
      </c>
      <c r="CQ92" s="2958">
        <f t="shared" si="24"/>
        <v>0</v>
      </c>
      <c r="CR92" s="2958">
        <f t="shared" si="24"/>
        <v>0</v>
      </c>
      <c r="CS92" s="2958">
        <f t="shared" si="24"/>
        <v>0</v>
      </c>
      <c r="CT92" s="2958">
        <f t="shared" si="24"/>
        <v>0</v>
      </c>
      <c r="CU92" s="2958">
        <f t="shared" si="24"/>
        <v>0</v>
      </c>
      <c r="CV92" s="2958">
        <f t="shared" si="24"/>
        <v>0</v>
      </c>
      <c r="CW92" s="2445"/>
      <c r="CX92" s="1968" t="s">
        <v>3542</v>
      </c>
      <c r="CY92" s="683" t="s">
        <v>1700</v>
      </c>
      <c r="CZ92" s="1973" t="s">
        <v>1701</v>
      </c>
      <c r="DA92" s="2961">
        <f t="shared" si="41"/>
        <v>0</v>
      </c>
      <c r="DB92" s="2961"/>
      <c r="DC92" s="2961"/>
      <c r="DD92" s="2961"/>
      <c r="DE92" s="2961"/>
      <c r="DF92" s="2961"/>
      <c r="DG92" s="2961"/>
      <c r="DH92" s="2961"/>
      <c r="DI92" s="2961"/>
      <c r="DJ92" s="2961"/>
      <c r="DK92" s="2961"/>
      <c r="DL92" s="2961"/>
      <c r="DM92" s="2961"/>
    </row>
    <row r="93" spans="1:117">
      <c r="B93" s="1914">
        <f t="shared" si="42"/>
        <v>2.4</v>
      </c>
      <c r="C93" s="1941" t="str">
        <f t="shared" si="36"/>
        <v>信頼性</v>
      </c>
      <c r="D93" s="1938">
        <f>IF(I$78=0,0,G93/I$78)</f>
        <v>0.2</v>
      </c>
      <c r="E93" s="1939">
        <f>IF(J$78=0,0,H93/J$78)</f>
        <v>0</v>
      </c>
      <c r="G93" s="1939">
        <f t="shared" si="37"/>
        <v>0.2</v>
      </c>
      <c r="H93" s="1939">
        <f t="shared" si="38"/>
        <v>0</v>
      </c>
      <c r="I93" s="1939">
        <f>SUM(G94:G98)</f>
        <v>1</v>
      </c>
      <c r="J93" s="1939">
        <f>SUM(H94:H98)</f>
        <v>0</v>
      </c>
      <c r="K93" s="1939">
        <f>IF(スコア!Q93=0,0,1)</f>
        <v>1</v>
      </c>
      <c r="L93" s="1939">
        <f>IF(スコア!T93=0,0,1)</f>
        <v>0</v>
      </c>
      <c r="M93" s="1939">
        <f t="shared" si="39"/>
        <v>0.2</v>
      </c>
      <c r="N93" s="1939">
        <f t="shared" si="40"/>
        <v>0</v>
      </c>
      <c r="P93" s="1940">
        <f t="shared" si="32"/>
        <v>2.4</v>
      </c>
      <c r="Q93" s="1940" t="str">
        <f t="shared" si="32"/>
        <v xml:space="preserve"> Q2 2</v>
      </c>
      <c r="R93" s="1941" t="str">
        <f t="shared" si="32"/>
        <v>信頼性</v>
      </c>
      <c r="S93" s="1942">
        <f t="shared" si="32"/>
        <v>0.2</v>
      </c>
      <c r="T93" s="1942">
        <f t="shared" si="32"/>
        <v>0.2</v>
      </c>
      <c r="U93" s="1942">
        <f t="shared" si="32"/>
        <v>0.2</v>
      </c>
      <c r="V93" s="1942">
        <f t="shared" si="32"/>
        <v>0.2</v>
      </c>
      <c r="W93" s="1942">
        <f t="shared" si="43"/>
        <v>0.2</v>
      </c>
      <c r="X93" s="1942">
        <f t="shared" si="43"/>
        <v>0.2</v>
      </c>
      <c r="Y93" s="1942">
        <f t="shared" si="43"/>
        <v>0.2</v>
      </c>
      <c r="Z93" s="1951">
        <f t="shared" si="43"/>
        <v>0.2</v>
      </c>
      <c r="AA93" s="1942">
        <f t="shared" si="43"/>
        <v>0.2</v>
      </c>
      <c r="AB93" s="1942">
        <f t="shared" si="43"/>
        <v>0.2</v>
      </c>
      <c r="AC93" s="1943">
        <f t="shared" si="43"/>
        <v>0</v>
      </c>
      <c r="AD93" s="1942">
        <f t="shared" si="43"/>
        <v>0</v>
      </c>
      <c r="AE93" s="1942">
        <f t="shared" si="43"/>
        <v>0</v>
      </c>
      <c r="AG93" s="1940">
        <v>2.4</v>
      </c>
      <c r="AH93" s="1944" t="s">
        <v>1690</v>
      </c>
      <c r="AI93" s="1941" t="s">
        <v>66</v>
      </c>
      <c r="AJ93" s="1942">
        <v>0.25</v>
      </c>
      <c r="AK93" s="1942">
        <v>0.25</v>
      </c>
      <c r="AL93" s="1942">
        <v>0.25</v>
      </c>
      <c r="AM93" s="1942">
        <v>0.25</v>
      </c>
      <c r="AN93" s="1942">
        <v>0.25</v>
      </c>
      <c r="AO93" s="1942">
        <v>0.25</v>
      </c>
      <c r="AP93" s="1942">
        <v>0.25</v>
      </c>
      <c r="AQ93" s="1951">
        <v>0.25</v>
      </c>
      <c r="AR93" s="1942">
        <v>0.25</v>
      </c>
      <c r="AS93" s="1947">
        <v>0.25</v>
      </c>
      <c r="AT93" s="1948">
        <v>0</v>
      </c>
      <c r="AU93" s="1947">
        <v>0</v>
      </c>
      <c r="AV93" s="1947">
        <v>0</v>
      </c>
      <c r="AX93" s="1940">
        <v>2.4</v>
      </c>
      <c r="AY93" s="1944" t="s">
        <v>1690</v>
      </c>
      <c r="AZ93" s="1941" t="s">
        <v>1677</v>
      </c>
      <c r="BA93" s="1947">
        <v>0.2</v>
      </c>
      <c r="BB93" s="1947">
        <v>0.2</v>
      </c>
      <c r="BC93" s="1947">
        <v>0.2</v>
      </c>
      <c r="BD93" s="1947">
        <v>0.2</v>
      </c>
      <c r="BE93" s="1947">
        <v>0.2</v>
      </c>
      <c r="BF93" s="1947">
        <v>0.2</v>
      </c>
      <c r="BG93" s="1947">
        <v>0.2</v>
      </c>
      <c r="BH93" s="1954">
        <v>0.2</v>
      </c>
      <c r="BI93" s="1947">
        <v>0.2</v>
      </c>
      <c r="BJ93" s="1947">
        <v>0.2</v>
      </c>
      <c r="BK93" s="1948"/>
      <c r="BL93" s="1947"/>
      <c r="BM93" s="1947"/>
      <c r="BO93" s="1940">
        <v>2.4</v>
      </c>
      <c r="BP93" s="1944" t="s">
        <v>1690</v>
      </c>
      <c r="BQ93" s="1941" t="s">
        <v>3748</v>
      </c>
      <c r="BR93" s="1947">
        <v>0.2</v>
      </c>
      <c r="BS93" s="1947">
        <v>0.2</v>
      </c>
      <c r="BT93" s="1947">
        <v>0.2</v>
      </c>
      <c r="BU93" s="1947">
        <v>0.2</v>
      </c>
      <c r="BV93" s="1947">
        <v>0.2</v>
      </c>
      <c r="BW93" s="1947">
        <v>0.2</v>
      </c>
      <c r="BX93" s="1947">
        <v>0.2</v>
      </c>
      <c r="BY93" s="1954">
        <v>0.2</v>
      </c>
      <c r="BZ93" s="1947">
        <v>0.2</v>
      </c>
      <c r="CA93" s="1947">
        <v>0.2</v>
      </c>
      <c r="CB93" s="1948"/>
      <c r="CC93" s="1947"/>
      <c r="CD93" s="1947"/>
      <c r="CE93" s="2302"/>
      <c r="CG93" s="1940">
        <v>2.4</v>
      </c>
      <c r="CH93" s="1944" t="s">
        <v>1690</v>
      </c>
      <c r="CI93" s="1941" t="s">
        <v>66</v>
      </c>
      <c r="CJ93" s="2945">
        <v>0.1</v>
      </c>
      <c r="CK93" s="2945">
        <v>0.1</v>
      </c>
      <c r="CL93" s="2945">
        <v>0.1</v>
      </c>
      <c r="CM93" s="2945">
        <v>0.1</v>
      </c>
      <c r="CN93" s="2945">
        <v>0.1</v>
      </c>
      <c r="CO93" s="2945">
        <v>0.1</v>
      </c>
      <c r="CP93" s="2945">
        <v>0.1</v>
      </c>
      <c r="CQ93" s="2945">
        <v>0.1</v>
      </c>
      <c r="CR93" s="2945">
        <v>0.1</v>
      </c>
      <c r="CS93" s="2945">
        <v>0.1</v>
      </c>
      <c r="CT93" s="2947">
        <f t="shared" si="24"/>
        <v>0</v>
      </c>
      <c r="CU93" s="2943">
        <f t="shared" si="24"/>
        <v>0</v>
      </c>
      <c r="CV93" s="2943">
        <f t="shared" si="24"/>
        <v>0</v>
      </c>
      <c r="CW93" s="2445"/>
      <c r="CX93" s="1940">
        <v>2.4</v>
      </c>
      <c r="CY93" s="1944" t="s">
        <v>1690</v>
      </c>
      <c r="CZ93" s="1941" t="s">
        <v>66</v>
      </c>
      <c r="DA93" s="2944">
        <v>0.6</v>
      </c>
      <c r="DB93" s="2945"/>
      <c r="DC93" s="2945"/>
      <c r="DD93" s="2945"/>
      <c r="DE93" s="2945"/>
      <c r="DF93" s="2945"/>
      <c r="DG93" s="2945"/>
      <c r="DH93" s="2968"/>
      <c r="DI93" s="2945"/>
      <c r="DJ93" s="2945"/>
      <c r="DK93" s="2949"/>
      <c r="DL93" s="2945"/>
      <c r="DM93" s="2945"/>
    </row>
    <row r="94" spans="1:117">
      <c r="B94" s="1914" t="str">
        <f t="shared" si="42"/>
        <v>2.4.1</v>
      </c>
      <c r="C94" s="1937" t="str">
        <f t="shared" si="36"/>
        <v>空調・換気設備</v>
      </c>
      <c r="D94" s="1927">
        <f t="shared" ref="D94:E98" si="46">IF(I$93&gt;0,G94/I$93,0)</f>
        <v>0.2</v>
      </c>
      <c r="E94" s="1939">
        <f t="shared" si="46"/>
        <v>0</v>
      </c>
      <c r="G94" s="1939">
        <f t="shared" si="37"/>
        <v>0.2</v>
      </c>
      <c r="H94" s="1939">
        <f t="shared" si="38"/>
        <v>0</v>
      </c>
      <c r="I94" s="1939"/>
      <c r="J94" s="1939"/>
      <c r="K94" s="1939">
        <f>IF(スコア!Q94=0,0,1)</f>
        <v>1</v>
      </c>
      <c r="L94" s="1939">
        <f>IF(スコア!T94=0,0,1)</f>
        <v>0</v>
      </c>
      <c r="M94" s="1939">
        <f t="shared" si="39"/>
        <v>0.2</v>
      </c>
      <c r="N94" s="1939">
        <f t="shared" si="40"/>
        <v>0</v>
      </c>
      <c r="P94" s="1940" t="str">
        <f t="shared" si="32"/>
        <v>2.4.1</v>
      </c>
      <c r="Q94" s="1940" t="str">
        <f t="shared" si="32"/>
        <v xml:space="preserve"> Q2 2.4</v>
      </c>
      <c r="R94" s="1941" t="str">
        <f t="shared" si="32"/>
        <v>空調・換気設備</v>
      </c>
      <c r="S94" s="1942">
        <f t="shared" si="32"/>
        <v>0.2</v>
      </c>
      <c r="T94" s="1942">
        <f t="shared" si="32"/>
        <v>0.2</v>
      </c>
      <c r="U94" s="1942">
        <f t="shared" si="32"/>
        <v>0.2</v>
      </c>
      <c r="V94" s="1942">
        <f t="shared" si="32"/>
        <v>0.2</v>
      </c>
      <c r="W94" s="1942">
        <f t="shared" si="43"/>
        <v>0.2</v>
      </c>
      <c r="X94" s="1942">
        <f t="shared" si="43"/>
        <v>0.2</v>
      </c>
      <c r="Y94" s="1942">
        <f t="shared" si="43"/>
        <v>0.2</v>
      </c>
      <c r="Z94" s="1951">
        <f t="shared" si="43"/>
        <v>0.2</v>
      </c>
      <c r="AA94" s="1942">
        <f t="shared" si="43"/>
        <v>0.2</v>
      </c>
      <c r="AB94" s="1942">
        <f t="shared" si="43"/>
        <v>0.2</v>
      </c>
      <c r="AC94" s="1943">
        <f t="shared" si="43"/>
        <v>0</v>
      </c>
      <c r="AD94" s="1942">
        <f t="shared" si="43"/>
        <v>0</v>
      </c>
      <c r="AE94" s="1942">
        <f t="shared" si="43"/>
        <v>0</v>
      </c>
      <c r="AG94" s="1940" t="s">
        <v>1146</v>
      </c>
      <c r="AH94" s="1944" t="s">
        <v>1702</v>
      </c>
      <c r="AI94" s="1945" t="s">
        <v>1703</v>
      </c>
      <c r="AJ94" s="1942">
        <v>0.2</v>
      </c>
      <c r="AK94" s="1942">
        <v>0.2</v>
      </c>
      <c r="AL94" s="1942">
        <v>0.2</v>
      </c>
      <c r="AM94" s="1942">
        <v>0.2</v>
      </c>
      <c r="AN94" s="1942">
        <v>0.2</v>
      </c>
      <c r="AO94" s="1942">
        <v>0.2</v>
      </c>
      <c r="AP94" s="1942">
        <v>0.2</v>
      </c>
      <c r="AQ94" s="1951">
        <v>0.2</v>
      </c>
      <c r="AR94" s="1942">
        <v>0.2</v>
      </c>
      <c r="AS94" s="1947">
        <v>0.2</v>
      </c>
      <c r="AT94" s="1948">
        <v>0</v>
      </c>
      <c r="AU94" s="1947">
        <v>0</v>
      </c>
      <c r="AV94" s="1947">
        <v>0</v>
      </c>
      <c r="AX94" s="1940" t="s">
        <v>1146</v>
      </c>
      <c r="AY94" s="1944" t="s">
        <v>1702</v>
      </c>
      <c r="AZ94" s="1945" t="s">
        <v>1703</v>
      </c>
      <c r="BA94" s="1947">
        <v>0.2</v>
      </c>
      <c r="BB94" s="1947">
        <v>0.2</v>
      </c>
      <c r="BC94" s="1947">
        <v>0.2</v>
      </c>
      <c r="BD94" s="1947">
        <v>0.2</v>
      </c>
      <c r="BE94" s="1947">
        <v>0.2</v>
      </c>
      <c r="BF94" s="1947">
        <v>0.2</v>
      </c>
      <c r="BG94" s="1947">
        <v>0.2</v>
      </c>
      <c r="BH94" s="1954">
        <v>0.2</v>
      </c>
      <c r="BI94" s="1947">
        <v>0.2</v>
      </c>
      <c r="BJ94" s="1947">
        <v>0.2</v>
      </c>
      <c r="BK94" s="1948"/>
      <c r="BL94" s="1947"/>
      <c r="BM94" s="1947"/>
      <c r="BO94" s="1940" t="s">
        <v>3702</v>
      </c>
      <c r="BP94" s="1944" t="s">
        <v>1702</v>
      </c>
      <c r="BQ94" s="1945" t="s">
        <v>1703</v>
      </c>
      <c r="BR94" s="1947">
        <v>0.2</v>
      </c>
      <c r="BS94" s="1947">
        <v>0.2</v>
      </c>
      <c r="BT94" s="1947">
        <v>0.2</v>
      </c>
      <c r="BU94" s="1947">
        <v>0.2</v>
      </c>
      <c r="BV94" s="1947">
        <v>0.2</v>
      </c>
      <c r="BW94" s="1947">
        <v>0.2</v>
      </c>
      <c r="BX94" s="1947">
        <v>0.2</v>
      </c>
      <c r="BY94" s="1954">
        <v>0.2</v>
      </c>
      <c r="BZ94" s="1947">
        <v>0.2</v>
      </c>
      <c r="CA94" s="1947">
        <v>0.2</v>
      </c>
      <c r="CB94" s="1948"/>
      <c r="CC94" s="1947"/>
      <c r="CD94" s="1947"/>
      <c r="CE94" s="2302"/>
      <c r="CG94" s="1940" t="s">
        <v>3543</v>
      </c>
      <c r="CH94" s="1944" t="s">
        <v>1702</v>
      </c>
      <c r="CI94" s="1945" t="s">
        <v>1703</v>
      </c>
      <c r="CJ94" s="2943">
        <v>0</v>
      </c>
      <c r="CK94" s="2943">
        <v>0</v>
      </c>
      <c r="CL94" s="2943">
        <v>0</v>
      </c>
      <c r="CM94" s="2943">
        <v>0</v>
      </c>
      <c r="CN94" s="2943">
        <v>0</v>
      </c>
      <c r="CO94" s="2943">
        <v>0</v>
      </c>
      <c r="CP94" s="2943">
        <v>0</v>
      </c>
      <c r="CQ94" s="2943">
        <v>0</v>
      </c>
      <c r="CR94" s="2943">
        <v>0</v>
      </c>
      <c r="CS94" s="2943">
        <v>0</v>
      </c>
      <c r="CT94" s="2947">
        <f t="shared" si="24"/>
        <v>0</v>
      </c>
      <c r="CU94" s="2943">
        <f t="shared" si="24"/>
        <v>0</v>
      </c>
      <c r="CV94" s="2943">
        <f t="shared" si="24"/>
        <v>0</v>
      </c>
      <c r="CW94" s="2445"/>
      <c r="CX94" s="1940" t="s">
        <v>3543</v>
      </c>
      <c r="CY94" s="1944" t="s">
        <v>1702</v>
      </c>
      <c r="CZ94" s="1945" t="s">
        <v>1703</v>
      </c>
      <c r="DA94" s="2969">
        <v>0.15</v>
      </c>
      <c r="DB94" s="2945"/>
      <c r="DC94" s="2945"/>
      <c r="DD94" s="2945"/>
      <c r="DE94" s="2945"/>
      <c r="DF94" s="2945"/>
      <c r="DG94" s="2945"/>
      <c r="DH94" s="2945"/>
      <c r="DI94" s="2945"/>
      <c r="DJ94" s="2945"/>
      <c r="DK94" s="2949"/>
      <c r="DL94" s="2945"/>
      <c r="DM94" s="2945"/>
    </row>
    <row r="95" spans="1:117">
      <c r="B95" s="1914" t="str">
        <f t="shared" si="42"/>
        <v>2.4.2</v>
      </c>
      <c r="C95" s="1937" t="str">
        <f t="shared" si="36"/>
        <v>給排水・衛生設備</v>
      </c>
      <c r="D95" s="1927">
        <f t="shared" si="46"/>
        <v>0.2</v>
      </c>
      <c r="E95" s="1939">
        <f t="shared" si="46"/>
        <v>0</v>
      </c>
      <c r="G95" s="1939">
        <f t="shared" si="37"/>
        <v>0.2</v>
      </c>
      <c r="H95" s="1939">
        <f t="shared" si="38"/>
        <v>0</v>
      </c>
      <c r="I95" s="1939"/>
      <c r="J95" s="1939"/>
      <c r="K95" s="1939">
        <f>IF(スコア!Q95=0,0,1)</f>
        <v>1</v>
      </c>
      <c r="L95" s="1939">
        <f>IF(スコア!T95=0,0,1)</f>
        <v>0</v>
      </c>
      <c r="M95" s="1939">
        <f t="shared" si="39"/>
        <v>0.2</v>
      </c>
      <c r="N95" s="1939">
        <f t="shared" si="40"/>
        <v>0</v>
      </c>
      <c r="P95" s="1940" t="str">
        <f t="shared" si="32"/>
        <v>2.4.2</v>
      </c>
      <c r="Q95" s="1940" t="str">
        <f t="shared" si="32"/>
        <v xml:space="preserve"> Q2 2.4</v>
      </c>
      <c r="R95" s="1941" t="str">
        <f t="shared" si="32"/>
        <v>給排水・衛生設備</v>
      </c>
      <c r="S95" s="1942">
        <f t="shared" si="32"/>
        <v>0.2</v>
      </c>
      <c r="T95" s="1942">
        <f t="shared" si="32"/>
        <v>0.2</v>
      </c>
      <c r="U95" s="1942">
        <f t="shared" si="32"/>
        <v>0.2</v>
      </c>
      <c r="V95" s="1942">
        <f t="shared" si="32"/>
        <v>0.2</v>
      </c>
      <c r="W95" s="1942">
        <f t="shared" si="43"/>
        <v>0.2</v>
      </c>
      <c r="X95" s="1942">
        <f t="shared" si="43"/>
        <v>0.2</v>
      </c>
      <c r="Y95" s="1942">
        <f t="shared" si="43"/>
        <v>0.2</v>
      </c>
      <c r="Z95" s="1951">
        <f t="shared" si="43"/>
        <v>0.2</v>
      </c>
      <c r="AA95" s="1942">
        <f t="shared" si="43"/>
        <v>0.2</v>
      </c>
      <c r="AB95" s="1942">
        <f t="shared" si="43"/>
        <v>0.2</v>
      </c>
      <c r="AC95" s="1943">
        <f t="shared" si="43"/>
        <v>0</v>
      </c>
      <c r="AD95" s="1942">
        <f t="shared" si="43"/>
        <v>0</v>
      </c>
      <c r="AE95" s="1942">
        <f t="shared" si="43"/>
        <v>0</v>
      </c>
      <c r="AG95" s="1940" t="s">
        <v>1704</v>
      </c>
      <c r="AH95" s="1944" t="s">
        <v>1702</v>
      </c>
      <c r="AI95" s="1945" t="s">
        <v>1705</v>
      </c>
      <c r="AJ95" s="1942">
        <v>0.2</v>
      </c>
      <c r="AK95" s="1942">
        <v>0.2</v>
      </c>
      <c r="AL95" s="1942">
        <v>0.2</v>
      </c>
      <c r="AM95" s="1942">
        <v>0.2</v>
      </c>
      <c r="AN95" s="1942">
        <v>0.2</v>
      </c>
      <c r="AO95" s="1942">
        <v>0.2</v>
      </c>
      <c r="AP95" s="1942">
        <v>0.2</v>
      </c>
      <c r="AQ95" s="1951">
        <v>0.2</v>
      </c>
      <c r="AR95" s="1942">
        <v>0.2</v>
      </c>
      <c r="AS95" s="1947">
        <v>0.2</v>
      </c>
      <c r="AT95" s="1948">
        <v>0</v>
      </c>
      <c r="AU95" s="1947">
        <v>0</v>
      </c>
      <c r="AV95" s="1947">
        <v>0</v>
      </c>
      <c r="AX95" s="1940" t="s">
        <v>1704</v>
      </c>
      <c r="AY95" s="1944" t="s">
        <v>1702</v>
      </c>
      <c r="AZ95" s="1945" t="s">
        <v>1705</v>
      </c>
      <c r="BA95" s="1947">
        <v>0.2</v>
      </c>
      <c r="BB95" s="1947">
        <v>0.2</v>
      </c>
      <c r="BC95" s="1947">
        <v>0.2</v>
      </c>
      <c r="BD95" s="1947">
        <v>0.2</v>
      </c>
      <c r="BE95" s="1947">
        <v>0.2</v>
      </c>
      <c r="BF95" s="1947">
        <v>0.2</v>
      </c>
      <c r="BG95" s="1947">
        <v>0.2</v>
      </c>
      <c r="BH95" s="1954">
        <v>0.2</v>
      </c>
      <c r="BI95" s="1947">
        <v>0.2</v>
      </c>
      <c r="BJ95" s="1947">
        <v>0.2</v>
      </c>
      <c r="BK95" s="1948"/>
      <c r="BL95" s="1947"/>
      <c r="BM95" s="1947"/>
      <c r="BO95" s="1940" t="s">
        <v>1704</v>
      </c>
      <c r="BP95" s="1944" t="s">
        <v>1702</v>
      </c>
      <c r="BQ95" s="1945" t="s">
        <v>1705</v>
      </c>
      <c r="BR95" s="1947">
        <v>0.2</v>
      </c>
      <c r="BS95" s="1947">
        <v>0.2</v>
      </c>
      <c r="BT95" s="1947">
        <v>0.2</v>
      </c>
      <c r="BU95" s="1947">
        <v>0.2</v>
      </c>
      <c r="BV95" s="1947">
        <v>0.2</v>
      </c>
      <c r="BW95" s="1947">
        <v>0.2</v>
      </c>
      <c r="BX95" s="1947">
        <v>0.2</v>
      </c>
      <c r="BY95" s="1954">
        <v>0.2</v>
      </c>
      <c r="BZ95" s="1947">
        <v>0.2</v>
      </c>
      <c r="CA95" s="1947">
        <v>0.2</v>
      </c>
      <c r="CB95" s="1948"/>
      <c r="CC95" s="1947"/>
      <c r="CD95" s="1947"/>
      <c r="CE95" s="2302"/>
      <c r="CG95" s="1940" t="s">
        <v>1704</v>
      </c>
      <c r="CH95" s="1944" t="s">
        <v>1702</v>
      </c>
      <c r="CI95" s="1945" t="s">
        <v>1705</v>
      </c>
      <c r="CJ95" s="2943">
        <v>0</v>
      </c>
      <c r="CK95" s="2943">
        <v>0</v>
      </c>
      <c r="CL95" s="2943">
        <v>0</v>
      </c>
      <c r="CM95" s="2943">
        <v>0</v>
      </c>
      <c r="CN95" s="2943">
        <v>0</v>
      </c>
      <c r="CO95" s="2943">
        <v>0</v>
      </c>
      <c r="CP95" s="2943">
        <v>0</v>
      </c>
      <c r="CQ95" s="2943">
        <v>0</v>
      </c>
      <c r="CR95" s="2943">
        <v>0</v>
      </c>
      <c r="CS95" s="2943">
        <v>0</v>
      </c>
      <c r="CT95" s="2947">
        <f t="shared" si="24"/>
        <v>0</v>
      </c>
      <c r="CU95" s="2943">
        <f t="shared" si="24"/>
        <v>0</v>
      </c>
      <c r="CV95" s="2943">
        <f t="shared" si="24"/>
        <v>0</v>
      </c>
      <c r="CW95" s="2445"/>
      <c r="CX95" s="1940" t="s">
        <v>1704</v>
      </c>
      <c r="CY95" s="1944" t="s">
        <v>1702</v>
      </c>
      <c r="CZ95" s="1945" t="s">
        <v>1705</v>
      </c>
      <c r="DA95" s="2969">
        <v>0.15</v>
      </c>
      <c r="DB95" s="2945"/>
      <c r="DC95" s="2945"/>
      <c r="DD95" s="2945"/>
      <c r="DE95" s="2945"/>
      <c r="DF95" s="2945"/>
      <c r="DG95" s="2945"/>
      <c r="DH95" s="2945"/>
      <c r="DI95" s="2945"/>
      <c r="DJ95" s="2945"/>
      <c r="DK95" s="2949"/>
      <c r="DL95" s="2945"/>
      <c r="DM95" s="2945"/>
    </row>
    <row r="96" spans="1:117">
      <c r="B96" s="1914" t="str">
        <f t="shared" si="42"/>
        <v>2.4.3</v>
      </c>
      <c r="C96" s="1937" t="str">
        <f t="shared" si="36"/>
        <v>電気設備</v>
      </c>
      <c r="D96" s="1927">
        <f t="shared" si="46"/>
        <v>0.2</v>
      </c>
      <c r="E96" s="1939">
        <f t="shared" si="46"/>
        <v>0</v>
      </c>
      <c r="G96" s="1939">
        <f t="shared" si="37"/>
        <v>0.2</v>
      </c>
      <c r="H96" s="1939">
        <f t="shared" si="38"/>
        <v>0</v>
      </c>
      <c r="I96" s="1939"/>
      <c r="J96" s="1939"/>
      <c r="K96" s="1939">
        <f>IF(スコア!Q96=0,0,1)</f>
        <v>1</v>
      </c>
      <c r="L96" s="1939">
        <f>IF(スコア!T96=0,0,1)</f>
        <v>0</v>
      </c>
      <c r="M96" s="1939">
        <f t="shared" si="39"/>
        <v>0.2</v>
      </c>
      <c r="N96" s="1939">
        <f t="shared" si="40"/>
        <v>0</v>
      </c>
      <c r="P96" s="1940" t="str">
        <f t="shared" si="32"/>
        <v>2.4.3</v>
      </c>
      <c r="Q96" s="1940" t="str">
        <f t="shared" si="32"/>
        <v xml:space="preserve"> Q2 2.4</v>
      </c>
      <c r="R96" s="1941" t="str">
        <f t="shared" si="32"/>
        <v>電気設備</v>
      </c>
      <c r="S96" s="1942">
        <f t="shared" si="32"/>
        <v>0.2</v>
      </c>
      <c r="T96" s="1942">
        <f t="shared" si="32"/>
        <v>0.2</v>
      </c>
      <c r="U96" s="1942">
        <f t="shared" si="32"/>
        <v>0.2</v>
      </c>
      <c r="V96" s="1942">
        <f t="shared" si="32"/>
        <v>0.2</v>
      </c>
      <c r="W96" s="1942">
        <f t="shared" si="43"/>
        <v>0.2</v>
      </c>
      <c r="X96" s="1942">
        <f t="shared" si="43"/>
        <v>0.2</v>
      </c>
      <c r="Y96" s="1942">
        <f t="shared" si="43"/>
        <v>0.2</v>
      </c>
      <c r="Z96" s="1951">
        <f t="shared" si="43"/>
        <v>0.2</v>
      </c>
      <c r="AA96" s="1942">
        <f t="shared" si="43"/>
        <v>0.2</v>
      </c>
      <c r="AB96" s="1942">
        <f t="shared" si="43"/>
        <v>0.2</v>
      </c>
      <c r="AC96" s="1943">
        <f t="shared" si="43"/>
        <v>0</v>
      </c>
      <c r="AD96" s="1942">
        <f t="shared" si="43"/>
        <v>0</v>
      </c>
      <c r="AE96" s="1942">
        <f t="shared" si="43"/>
        <v>0</v>
      </c>
      <c r="AG96" s="1940" t="s">
        <v>1706</v>
      </c>
      <c r="AH96" s="1944" t="s">
        <v>1702</v>
      </c>
      <c r="AI96" s="1945" t="s">
        <v>1707</v>
      </c>
      <c r="AJ96" s="1942">
        <v>0.2</v>
      </c>
      <c r="AK96" s="1942">
        <v>0.2</v>
      </c>
      <c r="AL96" s="1942">
        <v>0.2</v>
      </c>
      <c r="AM96" s="1942">
        <v>0.2</v>
      </c>
      <c r="AN96" s="1942">
        <v>0.2</v>
      </c>
      <c r="AO96" s="1942">
        <v>0.2</v>
      </c>
      <c r="AP96" s="1942">
        <v>0.2</v>
      </c>
      <c r="AQ96" s="1951">
        <v>0.2</v>
      </c>
      <c r="AR96" s="1942">
        <v>0.2</v>
      </c>
      <c r="AS96" s="1947">
        <v>0.2</v>
      </c>
      <c r="AT96" s="1948">
        <v>0</v>
      </c>
      <c r="AU96" s="1947">
        <v>0</v>
      </c>
      <c r="AV96" s="1947">
        <v>0</v>
      </c>
      <c r="AX96" s="1940" t="s">
        <v>1706</v>
      </c>
      <c r="AY96" s="1944" t="s">
        <v>1702</v>
      </c>
      <c r="AZ96" s="1945" t="s">
        <v>1707</v>
      </c>
      <c r="BA96" s="1947">
        <v>0.2</v>
      </c>
      <c r="BB96" s="1947">
        <v>0.2</v>
      </c>
      <c r="BC96" s="1947">
        <v>0.2</v>
      </c>
      <c r="BD96" s="1947">
        <v>0.2</v>
      </c>
      <c r="BE96" s="1947">
        <v>0.2</v>
      </c>
      <c r="BF96" s="1947">
        <v>0.2</v>
      </c>
      <c r="BG96" s="1947">
        <v>0.2</v>
      </c>
      <c r="BH96" s="1954">
        <v>0.2</v>
      </c>
      <c r="BI96" s="1947">
        <v>0.2</v>
      </c>
      <c r="BJ96" s="1947">
        <v>0.2</v>
      </c>
      <c r="BK96" s="1948"/>
      <c r="BL96" s="1947"/>
      <c r="BM96" s="1947"/>
      <c r="BO96" s="1940" t="s">
        <v>1706</v>
      </c>
      <c r="BP96" s="1944" t="s">
        <v>1702</v>
      </c>
      <c r="BQ96" s="1945" t="s">
        <v>1707</v>
      </c>
      <c r="BR96" s="1947">
        <v>0.2</v>
      </c>
      <c r="BS96" s="1947">
        <v>0.2</v>
      </c>
      <c r="BT96" s="1947">
        <v>0.2</v>
      </c>
      <c r="BU96" s="1947">
        <v>0.2</v>
      </c>
      <c r="BV96" s="1947">
        <v>0.2</v>
      </c>
      <c r="BW96" s="1947">
        <v>0.2</v>
      </c>
      <c r="BX96" s="1947">
        <v>0.2</v>
      </c>
      <c r="BY96" s="1954">
        <v>0.2</v>
      </c>
      <c r="BZ96" s="1947">
        <v>0.2</v>
      </c>
      <c r="CA96" s="1947">
        <v>0.2</v>
      </c>
      <c r="CB96" s="1948"/>
      <c r="CC96" s="1947"/>
      <c r="CD96" s="1947"/>
      <c r="CE96" s="2302"/>
      <c r="CG96" s="1940" t="s">
        <v>1706</v>
      </c>
      <c r="CH96" s="1944" t="s">
        <v>1702</v>
      </c>
      <c r="CI96" s="1945" t="s">
        <v>1707</v>
      </c>
      <c r="CJ96" s="2943">
        <v>0</v>
      </c>
      <c r="CK96" s="2943">
        <v>0</v>
      </c>
      <c r="CL96" s="2943">
        <v>0</v>
      </c>
      <c r="CM96" s="2943">
        <v>0</v>
      </c>
      <c r="CN96" s="2943">
        <v>0</v>
      </c>
      <c r="CO96" s="2943">
        <v>0</v>
      </c>
      <c r="CP96" s="2943">
        <v>0</v>
      </c>
      <c r="CQ96" s="2943">
        <v>0</v>
      </c>
      <c r="CR96" s="2943">
        <v>0</v>
      </c>
      <c r="CS96" s="2943">
        <v>0</v>
      </c>
      <c r="CT96" s="2947">
        <f t="shared" si="24"/>
        <v>0</v>
      </c>
      <c r="CU96" s="2943">
        <f t="shared" si="24"/>
        <v>0</v>
      </c>
      <c r="CV96" s="2943">
        <f t="shared" si="24"/>
        <v>0</v>
      </c>
      <c r="CW96" s="2445"/>
      <c r="CX96" s="1940" t="s">
        <v>1706</v>
      </c>
      <c r="CY96" s="1944" t="s">
        <v>1702</v>
      </c>
      <c r="CZ96" s="1945" t="s">
        <v>1707</v>
      </c>
      <c r="DA96" s="2969">
        <v>0.25</v>
      </c>
      <c r="DB96" s="2945"/>
      <c r="DC96" s="2945"/>
      <c r="DD96" s="2945"/>
      <c r="DE96" s="2945"/>
      <c r="DF96" s="2945"/>
      <c r="DG96" s="2945"/>
      <c r="DH96" s="2945"/>
      <c r="DI96" s="2945"/>
      <c r="DJ96" s="2945"/>
      <c r="DK96" s="2949"/>
      <c r="DL96" s="2945"/>
      <c r="DM96" s="2945"/>
    </row>
    <row r="97" spans="1:117">
      <c r="B97" s="1914" t="str">
        <f t="shared" si="42"/>
        <v>2.4.4</v>
      </c>
      <c r="C97" s="1937" t="str">
        <f t="shared" si="36"/>
        <v>機械・配管支持方法</v>
      </c>
      <c r="D97" s="1927">
        <f t="shared" si="46"/>
        <v>0.2</v>
      </c>
      <c r="E97" s="1939">
        <f t="shared" si="46"/>
        <v>0</v>
      </c>
      <c r="G97" s="1939">
        <f t="shared" si="37"/>
        <v>0.2</v>
      </c>
      <c r="H97" s="1939">
        <f t="shared" si="38"/>
        <v>0</v>
      </c>
      <c r="I97" s="1939"/>
      <c r="J97" s="1939"/>
      <c r="K97" s="1939">
        <f>IF(スコア!Q97=0,0,1)</f>
        <v>1</v>
      </c>
      <c r="L97" s="1939">
        <f>IF(スコア!T97=0,0,1)</f>
        <v>0</v>
      </c>
      <c r="M97" s="1939">
        <f t="shared" si="39"/>
        <v>0.2</v>
      </c>
      <c r="N97" s="1939">
        <f t="shared" si="40"/>
        <v>0</v>
      </c>
      <c r="P97" s="1940" t="str">
        <f t="shared" si="32"/>
        <v>2.4.4</v>
      </c>
      <c r="Q97" s="1940" t="str">
        <f t="shared" si="32"/>
        <v xml:space="preserve"> Q2 2.4</v>
      </c>
      <c r="R97" s="1941" t="str">
        <f t="shared" si="32"/>
        <v>機械・配管支持方法</v>
      </c>
      <c r="S97" s="1942">
        <f t="shared" si="32"/>
        <v>0.2</v>
      </c>
      <c r="T97" s="1942">
        <f t="shared" si="32"/>
        <v>0.2</v>
      </c>
      <c r="U97" s="1942">
        <f t="shared" si="32"/>
        <v>0.2</v>
      </c>
      <c r="V97" s="1942">
        <f t="shared" si="32"/>
        <v>0.2</v>
      </c>
      <c r="W97" s="1942">
        <f t="shared" si="43"/>
        <v>0.2</v>
      </c>
      <c r="X97" s="1942">
        <f t="shared" si="43"/>
        <v>0.2</v>
      </c>
      <c r="Y97" s="1942">
        <f t="shared" si="43"/>
        <v>0.2</v>
      </c>
      <c r="Z97" s="1951">
        <f t="shared" si="43"/>
        <v>0.2</v>
      </c>
      <c r="AA97" s="1942">
        <f t="shared" si="43"/>
        <v>0.2</v>
      </c>
      <c r="AB97" s="1942">
        <f t="shared" si="43"/>
        <v>0.2</v>
      </c>
      <c r="AC97" s="1943">
        <f t="shared" si="43"/>
        <v>0</v>
      </c>
      <c r="AD97" s="1942">
        <f t="shared" si="43"/>
        <v>0</v>
      </c>
      <c r="AE97" s="1942">
        <f t="shared" si="43"/>
        <v>0</v>
      </c>
      <c r="AG97" s="1940" t="s">
        <v>1708</v>
      </c>
      <c r="AH97" s="1944" t="s">
        <v>1702</v>
      </c>
      <c r="AI97" s="1945" t="s">
        <v>1709</v>
      </c>
      <c r="AJ97" s="1942">
        <v>0.2</v>
      </c>
      <c r="AK97" s="1942">
        <v>0.2</v>
      </c>
      <c r="AL97" s="1942">
        <v>0.2</v>
      </c>
      <c r="AM97" s="1942">
        <v>0.2</v>
      </c>
      <c r="AN97" s="1942">
        <v>0.2</v>
      </c>
      <c r="AO97" s="1942">
        <v>0.2</v>
      </c>
      <c r="AP97" s="1942">
        <v>0.2</v>
      </c>
      <c r="AQ97" s="1951">
        <v>0.2</v>
      </c>
      <c r="AR97" s="1942">
        <v>0.2</v>
      </c>
      <c r="AS97" s="1947">
        <v>0.2</v>
      </c>
      <c r="AT97" s="1948">
        <v>0</v>
      </c>
      <c r="AU97" s="1947">
        <v>0</v>
      </c>
      <c r="AV97" s="1947">
        <v>0</v>
      </c>
      <c r="AX97" s="1940" t="s">
        <v>1708</v>
      </c>
      <c r="AY97" s="1944" t="s">
        <v>1702</v>
      </c>
      <c r="AZ97" s="1945" t="s">
        <v>1709</v>
      </c>
      <c r="BA97" s="1947">
        <v>0.2</v>
      </c>
      <c r="BB97" s="1947">
        <v>0.2</v>
      </c>
      <c r="BC97" s="1947">
        <v>0.2</v>
      </c>
      <c r="BD97" s="1947">
        <v>0.2</v>
      </c>
      <c r="BE97" s="1947">
        <v>0.2</v>
      </c>
      <c r="BF97" s="1947">
        <v>0.2</v>
      </c>
      <c r="BG97" s="1947">
        <v>0.2</v>
      </c>
      <c r="BH97" s="1954">
        <v>0.2</v>
      </c>
      <c r="BI97" s="1947">
        <v>0.2</v>
      </c>
      <c r="BJ97" s="1947">
        <v>0.2</v>
      </c>
      <c r="BK97" s="1948"/>
      <c r="BL97" s="1947"/>
      <c r="BM97" s="1947"/>
      <c r="BO97" s="1940" t="s">
        <v>1708</v>
      </c>
      <c r="BP97" s="1944" t="s">
        <v>1702</v>
      </c>
      <c r="BQ97" s="1945" t="s">
        <v>1709</v>
      </c>
      <c r="BR97" s="1947">
        <v>0.2</v>
      </c>
      <c r="BS97" s="1947">
        <v>0.2</v>
      </c>
      <c r="BT97" s="1947">
        <v>0.2</v>
      </c>
      <c r="BU97" s="1947">
        <v>0.2</v>
      </c>
      <c r="BV97" s="1947">
        <v>0.2</v>
      </c>
      <c r="BW97" s="1947">
        <v>0.2</v>
      </c>
      <c r="BX97" s="1947">
        <v>0.2</v>
      </c>
      <c r="BY97" s="1954">
        <v>0.2</v>
      </c>
      <c r="BZ97" s="1947">
        <v>0.2</v>
      </c>
      <c r="CA97" s="1947">
        <v>0.2</v>
      </c>
      <c r="CB97" s="1948"/>
      <c r="CC97" s="1947"/>
      <c r="CD97" s="1947"/>
      <c r="CE97" s="2302"/>
      <c r="CG97" s="1940" t="s">
        <v>1708</v>
      </c>
      <c r="CH97" s="1944" t="s">
        <v>1702</v>
      </c>
      <c r="CI97" s="1945" t="s">
        <v>1709</v>
      </c>
      <c r="CJ97" s="2945">
        <v>1</v>
      </c>
      <c r="CK97" s="2945">
        <v>1</v>
      </c>
      <c r="CL97" s="2945">
        <v>1</v>
      </c>
      <c r="CM97" s="2945">
        <v>1</v>
      </c>
      <c r="CN97" s="2945">
        <v>1</v>
      </c>
      <c r="CO97" s="2945">
        <v>1</v>
      </c>
      <c r="CP97" s="2945">
        <v>1</v>
      </c>
      <c r="CQ97" s="2945">
        <v>1</v>
      </c>
      <c r="CR97" s="2945">
        <v>1</v>
      </c>
      <c r="CS97" s="2945">
        <v>1</v>
      </c>
      <c r="CT97" s="2947">
        <f t="shared" si="24"/>
        <v>0</v>
      </c>
      <c r="CU97" s="2943">
        <f t="shared" si="24"/>
        <v>0</v>
      </c>
      <c r="CV97" s="2943">
        <f t="shared" si="24"/>
        <v>0</v>
      </c>
      <c r="CW97" s="2445"/>
      <c r="CX97" s="1940" t="s">
        <v>1708</v>
      </c>
      <c r="CY97" s="1944" t="s">
        <v>1702</v>
      </c>
      <c r="CZ97" s="1945" t="s">
        <v>1709</v>
      </c>
      <c r="DA97" s="2969">
        <v>0.2</v>
      </c>
      <c r="DB97" s="2945"/>
      <c r="DC97" s="2945"/>
      <c r="DD97" s="2945"/>
      <c r="DE97" s="2945"/>
      <c r="DF97" s="2945"/>
      <c r="DG97" s="2945"/>
      <c r="DH97" s="2945"/>
      <c r="DI97" s="2945"/>
      <c r="DJ97" s="2945"/>
      <c r="DK97" s="2949"/>
      <c r="DL97" s="2945"/>
      <c r="DM97" s="2945"/>
    </row>
    <row r="98" spans="1:117">
      <c r="B98" s="1914" t="str">
        <f t="shared" si="42"/>
        <v>2.4.5</v>
      </c>
      <c r="C98" s="1937" t="str">
        <f t="shared" si="36"/>
        <v>通信・情報設備</v>
      </c>
      <c r="D98" s="1927">
        <f t="shared" si="46"/>
        <v>0.2</v>
      </c>
      <c r="E98" s="1939">
        <f t="shared" si="46"/>
        <v>0</v>
      </c>
      <c r="G98" s="1939">
        <f t="shared" si="37"/>
        <v>0.2</v>
      </c>
      <c r="H98" s="1939">
        <f t="shared" si="38"/>
        <v>0</v>
      </c>
      <c r="I98" s="1939"/>
      <c r="J98" s="1939"/>
      <c r="K98" s="1939">
        <f>IF(スコア!Q98=0,0,1)</f>
        <v>1</v>
      </c>
      <c r="L98" s="1939">
        <f>IF(スコア!T98=0,0,1)</f>
        <v>0</v>
      </c>
      <c r="M98" s="1939">
        <f t="shared" si="39"/>
        <v>0.2</v>
      </c>
      <c r="N98" s="1939">
        <f t="shared" si="40"/>
        <v>0</v>
      </c>
      <c r="P98" s="1940" t="str">
        <f t="shared" si="32"/>
        <v>2.4.5</v>
      </c>
      <c r="Q98" s="1940" t="str">
        <f t="shared" si="32"/>
        <v xml:space="preserve"> Q2 2.4</v>
      </c>
      <c r="R98" s="1941" t="str">
        <f t="shared" si="32"/>
        <v>通信・情報設備</v>
      </c>
      <c r="S98" s="1942">
        <f t="shared" si="32"/>
        <v>0.2</v>
      </c>
      <c r="T98" s="1942">
        <f t="shared" si="32"/>
        <v>0.2</v>
      </c>
      <c r="U98" s="1942">
        <f t="shared" si="32"/>
        <v>0.2</v>
      </c>
      <c r="V98" s="1942">
        <f t="shared" si="32"/>
        <v>0.2</v>
      </c>
      <c r="W98" s="1942">
        <f t="shared" si="43"/>
        <v>0.2</v>
      </c>
      <c r="X98" s="1942">
        <f t="shared" si="43"/>
        <v>0.2</v>
      </c>
      <c r="Y98" s="1942">
        <f t="shared" si="43"/>
        <v>0.2</v>
      </c>
      <c r="Z98" s="1951">
        <f t="shared" si="43"/>
        <v>0.2</v>
      </c>
      <c r="AA98" s="1942">
        <f t="shared" si="43"/>
        <v>0.2</v>
      </c>
      <c r="AB98" s="1942">
        <f t="shared" si="43"/>
        <v>0.2</v>
      </c>
      <c r="AC98" s="1943">
        <f t="shared" si="43"/>
        <v>0</v>
      </c>
      <c r="AD98" s="1942">
        <f t="shared" si="43"/>
        <v>0</v>
      </c>
      <c r="AE98" s="1942">
        <f t="shared" si="43"/>
        <v>0</v>
      </c>
      <c r="AG98" s="1940" t="s">
        <v>1710</v>
      </c>
      <c r="AH98" s="1944" t="s">
        <v>1702</v>
      </c>
      <c r="AI98" s="1945" t="s">
        <v>1711</v>
      </c>
      <c r="AJ98" s="1942">
        <v>0.2</v>
      </c>
      <c r="AK98" s="1942">
        <v>0.2</v>
      </c>
      <c r="AL98" s="1942">
        <v>0.2</v>
      </c>
      <c r="AM98" s="1942">
        <v>0.2</v>
      </c>
      <c r="AN98" s="1942">
        <v>0.2</v>
      </c>
      <c r="AO98" s="1942">
        <v>0.2</v>
      </c>
      <c r="AP98" s="1942">
        <v>0.2</v>
      </c>
      <c r="AQ98" s="1951">
        <v>0.2</v>
      </c>
      <c r="AR98" s="1942">
        <v>0.2</v>
      </c>
      <c r="AS98" s="1947">
        <v>0.2</v>
      </c>
      <c r="AT98" s="1948">
        <v>0</v>
      </c>
      <c r="AU98" s="1947">
        <v>0</v>
      </c>
      <c r="AV98" s="1947">
        <v>0</v>
      </c>
      <c r="AX98" s="1940" t="s">
        <v>1710</v>
      </c>
      <c r="AY98" s="1944" t="s">
        <v>1702</v>
      </c>
      <c r="AZ98" s="1945" t="s">
        <v>1711</v>
      </c>
      <c r="BA98" s="1947">
        <v>0.2</v>
      </c>
      <c r="BB98" s="1947">
        <v>0.2</v>
      </c>
      <c r="BC98" s="1947">
        <v>0.2</v>
      </c>
      <c r="BD98" s="1947">
        <v>0.2</v>
      </c>
      <c r="BE98" s="1947">
        <v>0.2</v>
      </c>
      <c r="BF98" s="1947">
        <v>0.2</v>
      </c>
      <c r="BG98" s="1947">
        <v>0.2</v>
      </c>
      <c r="BH98" s="1954">
        <v>0.2</v>
      </c>
      <c r="BI98" s="1947">
        <v>0.2</v>
      </c>
      <c r="BJ98" s="1947">
        <v>0.2</v>
      </c>
      <c r="BK98" s="1948"/>
      <c r="BL98" s="1947"/>
      <c r="BM98" s="1947"/>
      <c r="BO98" s="1940" t="s">
        <v>1710</v>
      </c>
      <c r="BP98" s="1944" t="s">
        <v>1702</v>
      </c>
      <c r="BQ98" s="1945" t="s">
        <v>1711</v>
      </c>
      <c r="BR98" s="1947">
        <v>0.2</v>
      </c>
      <c r="BS98" s="1947">
        <v>0.2</v>
      </c>
      <c r="BT98" s="1947">
        <v>0.2</v>
      </c>
      <c r="BU98" s="1947">
        <v>0.2</v>
      </c>
      <c r="BV98" s="1947">
        <v>0.2</v>
      </c>
      <c r="BW98" s="1947">
        <v>0.2</v>
      </c>
      <c r="BX98" s="1947">
        <v>0.2</v>
      </c>
      <c r="BY98" s="1954">
        <v>0.2</v>
      </c>
      <c r="BZ98" s="1947">
        <v>0.2</v>
      </c>
      <c r="CA98" s="1947">
        <v>0.2</v>
      </c>
      <c r="CB98" s="1948"/>
      <c r="CC98" s="1947"/>
      <c r="CD98" s="1947"/>
      <c r="CE98" s="2302"/>
      <c r="CG98" s="1940" t="s">
        <v>1710</v>
      </c>
      <c r="CH98" s="1944" t="s">
        <v>1702</v>
      </c>
      <c r="CI98" s="1945" t="s">
        <v>1711</v>
      </c>
      <c r="CJ98" s="2943">
        <v>0</v>
      </c>
      <c r="CK98" s="2943">
        <v>0</v>
      </c>
      <c r="CL98" s="2943">
        <v>0</v>
      </c>
      <c r="CM98" s="2943">
        <v>0</v>
      </c>
      <c r="CN98" s="2943">
        <v>0</v>
      </c>
      <c r="CO98" s="2943">
        <v>0</v>
      </c>
      <c r="CP98" s="2943">
        <v>0</v>
      </c>
      <c r="CQ98" s="2943">
        <v>0</v>
      </c>
      <c r="CR98" s="2943">
        <v>0</v>
      </c>
      <c r="CS98" s="2943">
        <v>0</v>
      </c>
      <c r="CT98" s="2947">
        <f t="shared" si="24"/>
        <v>0</v>
      </c>
      <c r="CU98" s="2943">
        <f t="shared" si="24"/>
        <v>0</v>
      </c>
      <c r="CV98" s="2943">
        <f t="shared" si="24"/>
        <v>0</v>
      </c>
      <c r="CW98" s="2445"/>
      <c r="CX98" s="1940" t="s">
        <v>1710</v>
      </c>
      <c r="CY98" s="1944" t="s">
        <v>1702</v>
      </c>
      <c r="CZ98" s="1945" t="s">
        <v>1711</v>
      </c>
      <c r="DA98" s="2969">
        <v>0.25</v>
      </c>
      <c r="DB98" s="2945"/>
      <c r="DC98" s="2945"/>
      <c r="DD98" s="2945"/>
      <c r="DE98" s="2945"/>
      <c r="DF98" s="2945"/>
      <c r="DG98" s="2945"/>
      <c r="DH98" s="2945"/>
      <c r="DI98" s="2945"/>
      <c r="DJ98" s="2945"/>
      <c r="DK98" s="2949"/>
      <c r="DL98" s="2945"/>
      <c r="DM98" s="2945"/>
    </row>
    <row r="99" spans="1:117" hidden="1">
      <c r="B99" s="1914">
        <f t="shared" si="42"/>
        <v>0</v>
      </c>
      <c r="C99" s="1937">
        <f t="shared" si="36"/>
        <v>0</v>
      </c>
      <c r="D99" s="1927"/>
      <c r="E99" s="1939"/>
      <c r="G99" s="1939">
        <f t="shared" si="37"/>
        <v>0</v>
      </c>
      <c r="H99" s="1939">
        <f t="shared" si="38"/>
        <v>0</v>
      </c>
      <c r="I99" s="1939"/>
      <c r="J99" s="1939"/>
      <c r="K99" s="1939"/>
      <c r="L99" s="1939"/>
      <c r="M99" s="1939">
        <f t="shared" si="39"/>
        <v>0</v>
      </c>
      <c r="N99" s="1939"/>
      <c r="P99" s="1940">
        <f t="shared" si="32"/>
        <v>0</v>
      </c>
      <c r="Q99" s="1940" t="str">
        <f t="shared" si="32"/>
        <v xml:space="preserve"> Q</v>
      </c>
      <c r="R99" s="1941">
        <f t="shared" si="32"/>
        <v>0</v>
      </c>
      <c r="S99" s="1942">
        <f t="shared" si="32"/>
        <v>0</v>
      </c>
      <c r="T99" s="1942">
        <f t="shared" si="32"/>
        <v>0</v>
      </c>
      <c r="U99" s="1942">
        <f t="shared" si="32"/>
        <v>0</v>
      </c>
      <c r="V99" s="1942">
        <f t="shared" si="32"/>
        <v>0</v>
      </c>
      <c r="W99" s="1942">
        <f t="shared" si="43"/>
        <v>0</v>
      </c>
      <c r="X99" s="1942">
        <f t="shared" si="43"/>
        <v>0</v>
      </c>
      <c r="Y99" s="1942">
        <f t="shared" si="43"/>
        <v>0</v>
      </c>
      <c r="Z99" s="1951">
        <f t="shared" si="43"/>
        <v>0</v>
      </c>
      <c r="AA99" s="1942">
        <f t="shared" si="43"/>
        <v>0</v>
      </c>
      <c r="AB99" s="1942">
        <f t="shared" si="43"/>
        <v>0</v>
      </c>
      <c r="AC99" s="1943">
        <f t="shared" si="43"/>
        <v>0</v>
      </c>
      <c r="AD99" s="1942">
        <f t="shared" si="43"/>
        <v>0</v>
      </c>
      <c r="AE99" s="1942">
        <f t="shared" si="43"/>
        <v>0</v>
      </c>
      <c r="AG99" s="1940"/>
      <c r="AH99" s="1944" t="s">
        <v>766</v>
      </c>
      <c r="AI99" s="1945"/>
      <c r="AJ99" s="1952">
        <v>0</v>
      </c>
      <c r="AK99" s="1952">
        <v>0</v>
      </c>
      <c r="AL99" s="1952">
        <v>0</v>
      </c>
      <c r="AM99" s="1952">
        <v>0</v>
      </c>
      <c r="AN99" s="1952">
        <v>0</v>
      </c>
      <c r="AO99" s="1952">
        <v>0</v>
      </c>
      <c r="AP99" s="1952">
        <v>0</v>
      </c>
      <c r="AQ99" s="1970">
        <v>0</v>
      </c>
      <c r="AR99" s="1952">
        <v>0</v>
      </c>
      <c r="AS99" s="1947"/>
      <c r="AT99" s="1948">
        <v>0</v>
      </c>
      <c r="AU99" s="1947">
        <v>0</v>
      </c>
      <c r="AV99" s="1947">
        <v>0</v>
      </c>
      <c r="AX99" s="1940"/>
      <c r="AY99" s="1944" t="s">
        <v>766</v>
      </c>
      <c r="AZ99" s="1945"/>
      <c r="BA99" s="1947"/>
      <c r="BB99" s="1947"/>
      <c r="BC99" s="1947"/>
      <c r="BD99" s="1947"/>
      <c r="BE99" s="1947"/>
      <c r="BF99" s="1947"/>
      <c r="BG99" s="1947"/>
      <c r="BH99" s="1954"/>
      <c r="BI99" s="1947"/>
      <c r="BJ99" s="1947"/>
      <c r="BK99" s="1948"/>
      <c r="BL99" s="1947"/>
      <c r="BM99" s="1947"/>
      <c r="BO99" s="1940"/>
      <c r="BP99" s="1944" t="s">
        <v>766</v>
      </c>
      <c r="BQ99" s="1945"/>
      <c r="BR99" s="1947"/>
      <c r="BS99" s="1947"/>
      <c r="BT99" s="1947"/>
      <c r="BU99" s="1947"/>
      <c r="BV99" s="1947"/>
      <c r="BW99" s="1947"/>
      <c r="BX99" s="1947"/>
      <c r="BY99" s="1954"/>
      <c r="BZ99" s="1947"/>
      <c r="CA99" s="1947"/>
      <c r="CB99" s="1948"/>
      <c r="CC99" s="1947"/>
      <c r="CD99" s="1947"/>
      <c r="CE99" s="2302"/>
      <c r="CG99" s="1940"/>
      <c r="CH99" s="1944" t="s">
        <v>766</v>
      </c>
      <c r="CI99" s="1945"/>
      <c r="CJ99" s="2943">
        <f t="shared" si="25"/>
        <v>0</v>
      </c>
      <c r="CK99" s="2943">
        <f t="shared" si="25"/>
        <v>0</v>
      </c>
      <c r="CL99" s="2943">
        <f t="shared" si="25"/>
        <v>0</v>
      </c>
      <c r="CM99" s="2943">
        <f t="shared" si="25"/>
        <v>0</v>
      </c>
      <c r="CN99" s="2943">
        <f t="shared" si="25"/>
        <v>0</v>
      </c>
      <c r="CO99" s="2943">
        <f t="shared" si="25"/>
        <v>0</v>
      </c>
      <c r="CP99" s="2943">
        <f t="shared" si="25"/>
        <v>0</v>
      </c>
      <c r="CQ99" s="2967">
        <f t="shared" si="25"/>
        <v>0</v>
      </c>
      <c r="CR99" s="2943">
        <f t="shared" si="25"/>
        <v>0</v>
      </c>
      <c r="CS99" s="2943">
        <f t="shared" si="25"/>
        <v>0</v>
      </c>
      <c r="CT99" s="2947">
        <f t="shared" si="25"/>
        <v>0</v>
      </c>
      <c r="CU99" s="2943">
        <f t="shared" si="25"/>
        <v>0</v>
      </c>
      <c r="CV99" s="2943">
        <f t="shared" si="25"/>
        <v>0</v>
      </c>
      <c r="CW99" s="2445"/>
      <c r="CX99" s="1940"/>
      <c r="CY99" s="1944" t="s">
        <v>766</v>
      </c>
      <c r="CZ99" s="1945"/>
      <c r="DA99" s="2945">
        <f t="shared" si="41"/>
        <v>0</v>
      </c>
      <c r="DB99" s="2945"/>
      <c r="DC99" s="2945"/>
      <c r="DD99" s="2945"/>
      <c r="DE99" s="2945"/>
      <c r="DF99" s="2945"/>
      <c r="DG99" s="2945"/>
      <c r="DH99" s="2968"/>
      <c r="DI99" s="2945"/>
      <c r="DJ99" s="2945"/>
      <c r="DK99" s="2949"/>
      <c r="DL99" s="2945"/>
      <c r="DM99" s="2945"/>
    </row>
    <row r="100" spans="1:117" s="1328" customFormat="1">
      <c r="A100"/>
      <c r="B100" s="1914">
        <f t="shared" si="42"/>
        <v>3</v>
      </c>
      <c r="C100" s="1955" t="str">
        <f t="shared" si="36"/>
        <v>対応性・更新性</v>
      </c>
      <c r="D100" s="1925">
        <f>IF(I$62=0,0,G100/I$62)</f>
        <v>0.3</v>
      </c>
      <c r="E100" s="1926">
        <f>IF(J$62=0,0,H100/J$62)</f>
        <v>0</v>
      </c>
      <c r="F100"/>
      <c r="G100" s="1926">
        <f t="shared" si="37"/>
        <v>0.3</v>
      </c>
      <c r="H100" s="1926">
        <f t="shared" si="38"/>
        <v>0</v>
      </c>
      <c r="I100" s="1926">
        <f>G101+G104+G105</f>
        <v>1</v>
      </c>
      <c r="J100" s="1926">
        <f>H101+H104+H105</f>
        <v>1.5748031496062992E-2</v>
      </c>
      <c r="K100" s="1926">
        <f>IF(スコア!Q100=0,0,1)</f>
        <v>1</v>
      </c>
      <c r="L100" s="1926">
        <f>IF(スコア!T100=0,0,1)</f>
        <v>1</v>
      </c>
      <c r="M100" s="1926">
        <f t="shared" si="39"/>
        <v>0.3</v>
      </c>
      <c r="N100" s="1926">
        <f t="shared" ref="N100:N119" si="47">(AC$7*AC100)+(AD$7*AD100)+(AE$7*AE100)</f>
        <v>0</v>
      </c>
      <c r="O100"/>
      <c r="P100" s="1928">
        <f t="shared" si="32"/>
        <v>3</v>
      </c>
      <c r="Q100" s="1928" t="str">
        <f t="shared" si="32"/>
        <v xml:space="preserve"> Q2</v>
      </c>
      <c r="R100" s="1929" t="str">
        <f t="shared" si="32"/>
        <v>対応性・更新性</v>
      </c>
      <c r="S100" s="1930">
        <f t="shared" si="32"/>
        <v>0.3</v>
      </c>
      <c r="T100" s="1930">
        <f t="shared" si="32"/>
        <v>0.3</v>
      </c>
      <c r="U100" s="1930">
        <f t="shared" si="32"/>
        <v>0.3</v>
      </c>
      <c r="V100" s="1930">
        <f t="shared" si="32"/>
        <v>0.3</v>
      </c>
      <c r="W100" s="1930">
        <f t="shared" si="43"/>
        <v>0.3</v>
      </c>
      <c r="X100" s="1930">
        <f t="shared" si="43"/>
        <v>0.3</v>
      </c>
      <c r="Y100" s="1930">
        <f t="shared" si="43"/>
        <v>0.3</v>
      </c>
      <c r="Z100" s="1994">
        <f t="shared" si="43"/>
        <v>0.3</v>
      </c>
      <c r="AA100" s="1930">
        <f t="shared" si="43"/>
        <v>0.3</v>
      </c>
      <c r="AB100" s="1930">
        <f t="shared" si="43"/>
        <v>0.3</v>
      </c>
      <c r="AC100" s="1932">
        <f t="shared" si="43"/>
        <v>0</v>
      </c>
      <c r="AD100" s="1930">
        <f t="shared" si="43"/>
        <v>0</v>
      </c>
      <c r="AE100" s="1930">
        <f t="shared" si="43"/>
        <v>0</v>
      </c>
      <c r="AF100"/>
      <c r="AG100" s="1928">
        <v>3</v>
      </c>
      <c r="AH100" s="1933" t="s">
        <v>2103</v>
      </c>
      <c r="AI100" s="1957" t="s">
        <v>114</v>
      </c>
      <c r="AJ100" s="1930">
        <v>0.3</v>
      </c>
      <c r="AK100" s="1930">
        <v>0.3</v>
      </c>
      <c r="AL100" s="1930">
        <v>0.3</v>
      </c>
      <c r="AM100" s="1930">
        <v>0.3</v>
      </c>
      <c r="AN100" s="1930">
        <v>0.3</v>
      </c>
      <c r="AO100" s="1930">
        <v>0.3</v>
      </c>
      <c r="AP100" s="1930">
        <v>0.3</v>
      </c>
      <c r="AQ100" s="1994">
        <v>0.3</v>
      </c>
      <c r="AR100" s="1930">
        <v>0.3</v>
      </c>
      <c r="AS100" s="1934">
        <v>0.3</v>
      </c>
      <c r="AT100" s="1935"/>
      <c r="AU100" s="1934"/>
      <c r="AV100" s="1934"/>
      <c r="AW100"/>
      <c r="AX100" s="1928">
        <v>3</v>
      </c>
      <c r="AY100" s="1933" t="s">
        <v>2103</v>
      </c>
      <c r="AZ100" s="1957" t="s">
        <v>114</v>
      </c>
      <c r="BA100" s="1934">
        <v>0.3</v>
      </c>
      <c r="BB100" s="1934">
        <v>0.3</v>
      </c>
      <c r="BC100" s="1934">
        <v>0.3</v>
      </c>
      <c r="BD100" s="1934">
        <v>0.3</v>
      </c>
      <c r="BE100" s="1934">
        <v>0.3</v>
      </c>
      <c r="BF100" s="1934">
        <v>0.3</v>
      </c>
      <c r="BG100" s="1934">
        <v>0.3</v>
      </c>
      <c r="BH100" s="1995">
        <v>0.3</v>
      </c>
      <c r="BI100" s="1934">
        <v>0.3</v>
      </c>
      <c r="BJ100" s="1934">
        <v>0.3</v>
      </c>
      <c r="BK100" s="1935"/>
      <c r="BL100" s="1934"/>
      <c r="BM100" s="1934"/>
      <c r="BN100"/>
      <c r="BO100" s="1928">
        <v>3</v>
      </c>
      <c r="BP100" s="1933" t="s">
        <v>2103</v>
      </c>
      <c r="BQ100" s="1957" t="s">
        <v>114</v>
      </c>
      <c r="BR100" s="1934">
        <v>0.3</v>
      </c>
      <c r="BS100" s="1934">
        <v>0.3</v>
      </c>
      <c r="BT100" s="1934">
        <v>0.3</v>
      </c>
      <c r="BU100" s="1934">
        <v>0.3</v>
      </c>
      <c r="BV100" s="1934">
        <v>0.3</v>
      </c>
      <c r="BW100" s="1934">
        <v>0.3</v>
      </c>
      <c r="BX100" s="1934">
        <v>0.3</v>
      </c>
      <c r="BY100" s="1995">
        <v>0.3</v>
      </c>
      <c r="BZ100" s="1934">
        <v>0.3</v>
      </c>
      <c r="CA100" s="1934">
        <v>0.3</v>
      </c>
      <c r="CB100" s="1935"/>
      <c r="CC100" s="1934"/>
      <c r="CD100" s="1934"/>
      <c r="CE100" s="2301"/>
      <c r="CF100"/>
      <c r="CG100" s="1928">
        <v>3</v>
      </c>
      <c r="CH100" s="1933" t="s">
        <v>2103</v>
      </c>
      <c r="CI100" s="1957" t="s">
        <v>114</v>
      </c>
      <c r="CJ100" s="2940">
        <v>0</v>
      </c>
      <c r="CK100" s="2940">
        <v>0</v>
      </c>
      <c r="CL100" s="2940">
        <v>0</v>
      </c>
      <c r="CM100" s="2940">
        <v>0</v>
      </c>
      <c r="CN100" s="2940">
        <v>0</v>
      </c>
      <c r="CO100" s="2940">
        <v>0</v>
      </c>
      <c r="CP100" s="2940">
        <v>0</v>
      </c>
      <c r="CQ100" s="2940">
        <v>0</v>
      </c>
      <c r="CR100" s="2940">
        <v>0</v>
      </c>
      <c r="CS100" s="2940">
        <v>0</v>
      </c>
      <c r="CT100" s="2942">
        <f t="shared" si="25"/>
        <v>0</v>
      </c>
      <c r="CU100" s="2940">
        <f t="shared" si="25"/>
        <v>0</v>
      </c>
      <c r="CV100" s="2940">
        <f t="shared" si="25"/>
        <v>0</v>
      </c>
      <c r="CW100" s="2445"/>
      <c r="CX100" s="1928">
        <v>3</v>
      </c>
      <c r="CY100" s="1933" t="s">
        <v>2103</v>
      </c>
      <c r="CZ100" s="1957" t="s">
        <v>114</v>
      </c>
      <c r="DA100" s="2974">
        <v>0.2</v>
      </c>
      <c r="DB100" s="2940"/>
      <c r="DC100" s="2940"/>
      <c r="DD100" s="2940"/>
      <c r="DE100" s="2940"/>
      <c r="DF100" s="2940"/>
      <c r="DG100" s="2940"/>
      <c r="DH100" s="2940"/>
      <c r="DI100" s="2940"/>
      <c r="DJ100" s="2940"/>
      <c r="DK100" s="2942"/>
      <c r="DL100" s="2940"/>
      <c r="DM100" s="2940"/>
    </row>
    <row r="101" spans="1:117">
      <c r="B101" s="1914">
        <f t="shared" si="42"/>
        <v>3.1</v>
      </c>
      <c r="C101" s="1941" t="str">
        <f t="shared" si="36"/>
        <v>空間のゆとり</v>
      </c>
      <c r="D101" s="1938">
        <f>IF(I$100=0,0,G101/I$100)</f>
        <v>0.29527559055118108</v>
      </c>
      <c r="E101" s="1939">
        <f>IF(J$100=0,0,H101/J$100)</f>
        <v>0.5</v>
      </c>
      <c r="G101" s="1939">
        <f t="shared" si="37"/>
        <v>0.29527559055118108</v>
      </c>
      <c r="H101" s="1939">
        <f t="shared" si="38"/>
        <v>7.874015748031496E-3</v>
      </c>
      <c r="I101" s="1939">
        <f>SUM(G102:G103)</f>
        <v>0.98425196850393704</v>
      </c>
      <c r="J101" s="1939">
        <f>SUM(H102:H103)</f>
        <v>1.5748031496062992E-2</v>
      </c>
      <c r="K101" s="1939">
        <f>IF(スコア!Q101=0,0,1)</f>
        <v>1</v>
      </c>
      <c r="L101" s="1939">
        <f>IF(スコア!T101=0,0,1)</f>
        <v>1</v>
      </c>
      <c r="M101" s="1939">
        <f t="shared" si="39"/>
        <v>0.29527559055118108</v>
      </c>
      <c r="N101" s="1939">
        <f t="shared" si="47"/>
        <v>7.874015748031496E-3</v>
      </c>
      <c r="P101" s="1940">
        <f t="shared" si="32"/>
        <v>3.1</v>
      </c>
      <c r="Q101" s="1940" t="str">
        <f t="shared" si="32"/>
        <v xml:space="preserve"> Q2 3</v>
      </c>
      <c r="R101" s="1941" t="str">
        <f t="shared" si="32"/>
        <v>空間のゆとり</v>
      </c>
      <c r="S101" s="1942">
        <f t="shared" si="32"/>
        <v>0.3</v>
      </c>
      <c r="T101" s="1942">
        <f t="shared" si="32"/>
        <v>0.3</v>
      </c>
      <c r="U101" s="1942">
        <f t="shared" si="32"/>
        <v>0.3</v>
      </c>
      <c r="V101" s="1942">
        <f t="shared" si="32"/>
        <v>0.3</v>
      </c>
      <c r="W101" s="1942">
        <f t="shared" si="43"/>
        <v>0.3</v>
      </c>
      <c r="X101" s="1942">
        <f t="shared" si="43"/>
        <v>0</v>
      </c>
      <c r="Y101" s="1942">
        <f t="shared" si="43"/>
        <v>0</v>
      </c>
      <c r="Z101" s="1951">
        <f t="shared" si="43"/>
        <v>0.3</v>
      </c>
      <c r="AA101" s="1942">
        <f t="shared" si="43"/>
        <v>0.3</v>
      </c>
      <c r="AB101" s="1942">
        <f t="shared" si="43"/>
        <v>0.3</v>
      </c>
      <c r="AC101" s="1943">
        <f t="shared" si="43"/>
        <v>0.5</v>
      </c>
      <c r="AD101" s="1942">
        <f t="shared" si="43"/>
        <v>0.5</v>
      </c>
      <c r="AE101" s="1942">
        <f t="shared" si="43"/>
        <v>0.5</v>
      </c>
      <c r="AG101" s="1940">
        <v>3.1</v>
      </c>
      <c r="AH101" s="1944" t="s">
        <v>115</v>
      </c>
      <c r="AI101" s="1941" t="s">
        <v>1019</v>
      </c>
      <c r="AJ101" s="1942">
        <v>0.3</v>
      </c>
      <c r="AK101" s="1942">
        <v>0.3</v>
      </c>
      <c r="AL101" s="1942">
        <v>0.3</v>
      </c>
      <c r="AM101" s="1942">
        <v>0.3</v>
      </c>
      <c r="AN101" s="1942">
        <v>0.3</v>
      </c>
      <c r="AO101" s="1942"/>
      <c r="AP101" s="1942"/>
      <c r="AQ101" s="1951">
        <v>0.3</v>
      </c>
      <c r="AR101" s="1942">
        <v>0.3</v>
      </c>
      <c r="AS101" s="1947">
        <v>0.3</v>
      </c>
      <c r="AT101" s="1948">
        <v>0.5</v>
      </c>
      <c r="AU101" s="1947">
        <v>0.5</v>
      </c>
      <c r="AV101" s="1947">
        <v>0.5</v>
      </c>
      <c r="AX101" s="1940">
        <v>3.1</v>
      </c>
      <c r="AY101" s="1944" t="s">
        <v>115</v>
      </c>
      <c r="AZ101" s="1941" t="s">
        <v>1019</v>
      </c>
      <c r="BA101" s="1947">
        <v>0.3</v>
      </c>
      <c r="BB101" s="1947">
        <v>0.3</v>
      </c>
      <c r="BC101" s="1947">
        <v>0.3</v>
      </c>
      <c r="BD101" s="1947">
        <v>0.3</v>
      </c>
      <c r="BE101" s="1947">
        <v>0.3</v>
      </c>
      <c r="BF101" s="1947"/>
      <c r="BG101" s="1947"/>
      <c r="BH101" s="1954">
        <v>0.3</v>
      </c>
      <c r="BI101" s="1947">
        <v>0.3</v>
      </c>
      <c r="BJ101" s="1947">
        <v>0.3</v>
      </c>
      <c r="BK101" s="1948">
        <v>0.5</v>
      </c>
      <c r="BL101" s="1947">
        <v>0.5</v>
      </c>
      <c r="BM101" s="1947">
        <v>0.5</v>
      </c>
      <c r="BO101" s="1940">
        <v>3.1</v>
      </c>
      <c r="BP101" s="1944" t="s">
        <v>115</v>
      </c>
      <c r="BQ101" s="1941" t="s">
        <v>1019</v>
      </c>
      <c r="BR101" s="1947">
        <v>0.3</v>
      </c>
      <c r="BS101" s="1947">
        <v>0.3</v>
      </c>
      <c r="BT101" s="1947">
        <v>0.3</v>
      </c>
      <c r="BU101" s="1947">
        <v>0.3</v>
      </c>
      <c r="BV101" s="1947">
        <v>0.3</v>
      </c>
      <c r="BW101" s="1947"/>
      <c r="BX101" s="1947"/>
      <c r="BY101" s="1954">
        <v>0.3</v>
      </c>
      <c r="BZ101" s="1947">
        <v>0.3</v>
      </c>
      <c r="CA101" s="1947">
        <v>0.3</v>
      </c>
      <c r="CB101" s="1948">
        <v>0.5</v>
      </c>
      <c r="CC101" s="1947">
        <v>0.5</v>
      </c>
      <c r="CD101" s="1947">
        <v>0.5</v>
      </c>
      <c r="CE101" s="2302"/>
      <c r="CG101" s="1940">
        <v>3.1</v>
      </c>
      <c r="CH101" s="1944" t="s">
        <v>115</v>
      </c>
      <c r="CI101" s="1941" t="s">
        <v>1019</v>
      </c>
      <c r="CJ101" s="2943">
        <v>0</v>
      </c>
      <c r="CK101" s="2943">
        <v>0</v>
      </c>
      <c r="CL101" s="2943">
        <v>0</v>
      </c>
      <c r="CM101" s="2943">
        <v>0</v>
      </c>
      <c r="CN101" s="2943">
        <v>0</v>
      </c>
      <c r="CO101" s="2943">
        <v>0</v>
      </c>
      <c r="CP101" s="2943">
        <v>0</v>
      </c>
      <c r="CQ101" s="2943">
        <v>0</v>
      </c>
      <c r="CR101" s="2943">
        <v>0</v>
      </c>
      <c r="CS101" s="2943">
        <v>0</v>
      </c>
      <c r="CT101" s="2943">
        <v>0</v>
      </c>
      <c r="CU101" s="2943">
        <v>0</v>
      </c>
      <c r="CV101" s="2943">
        <v>0</v>
      </c>
      <c r="CW101" s="2445"/>
      <c r="CX101" s="1940">
        <v>3.1</v>
      </c>
      <c r="CY101" s="1944" t="s">
        <v>115</v>
      </c>
      <c r="CZ101" s="1941" t="s">
        <v>1019</v>
      </c>
      <c r="DA101" s="2945">
        <f t="shared" si="41"/>
        <v>0.3</v>
      </c>
      <c r="DB101" s="2945"/>
      <c r="DC101" s="2945"/>
      <c r="DD101" s="2945"/>
      <c r="DE101" s="2945"/>
      <c r="DF101" s="2945"/>
      <c r="DG101" s="2945"/>
      <c r="DH101" s="2945"/>
      <c r="DI101" s="2945"/>
      <c r="DJ101" s="2945"/>
      <c r="DK101" s="2945"/>
      <c r="DL101" s="2945"/>
      <c r="DM101" s="2945"/>
    </row>
    <row r="102" spans="1:117">
      <c r="B102" s="1914" t="str">
        <f t="shared" si="42"/>
        <v>3.1.1</v>
      </c>
      <c r="C102" s="1937" t="str">
        <f t="shared" si="36"/>
        <v>階高のゆとり</v>
      </c>
      <c r="D102" s="1927">
        <f>IF(I$101&gt;0,G102/I$101,0)</f>
        <v>0.6</v>
      </c>
      <c r="E102" s="1939">
        <f>IF(J$101&gt;0,H102/J$101,0)</f>
        <v>0.6</v>
      </c>
      <c r="G102" s="1939">
        <f t="shared" si="37"/>
        <v>0.59055118110236215</v>
      </c>
      <c r="H102" s="1939">
        <f t="shared" si="38"/>
        <v>9.4488188976377951E-3</v>
      </c>
      <c r="I102" s="1939"/>
      <c r="J102" s="1939"/>
      <c r="K102" s="1939">
        <f>IF(スコア!Q102=0,0,1)</f>
        <v>1</v>
      </c>
      <c r="L102" s="1939">
        <f>IF(スコア!T102=0,0,1)</f>
        <v>1</v>
      </c>
      <c r="M102" s="1939">
        <f t="shared" si="39"/>
        <v>0.59055118110236215</v>
      </c>
      <c r="N102" s="1939">
        <f t="shared" si="47"/>
        <v>9.4488188976377951E-3</v>
      </c>
      <c r="P102" s="1940" t="str">
        <f t="shared" si="32"/>
        <v>3.1.1</v>
      </c>
      <c r="Q102" s="1940" t="str">
        <f t="shared" si="32"/>
        <v xml:space="preserve"> Q2 3.1</v>
      </c>
      <c r="R102" s="1941" t="str">
        <f t="shared" si="32"/>
        <v>階高のゆとり</v>
      </c>
      <c r="S102" s="1942">
        <f t="shared" si="32"/>
        <v>0.6</v>
      </c>
      <c r="T102" s="1942">
        <f t="shared" si="32"/>
        <v>0.6</v>
      </c>
      <c r="U102" s="1942">
        <f t="shared" si="32"/>
        <v>0.6</v>
      </c>
      <c r="V102" s="1942">
        <f t="shared" si="32"/>
        <v>0.6</v>
      </c>
      <c r="W102" s="1942">
        <f t="shared" si="43"/>
        <v>0.6</v>
      </c>
      <c r="X102" s="1942">
        <f t="shared" si="43"/>
        <v>0</v>
      </c>
      <c r="Y102" s="1942">
        <f t="shared" si="43"/>
        <v>0</v>
      </c>
      <c r="Z102" s="1951">
        <f t="shared" si="43"/>
        <v>0</v>
      </c>
      <c r="AA102" s="1942">
        <f t="shared" si="43"/>
        <v>0.6</v>
      </c>
      <c r="AB102" s="1942">
        <f t="shared" si="43"/>
        <v>0.6</v>
      </c>
      <c r="AC102" s="1943">
        <f t="shared" si="43"/>
        <v>0.6</v>
      </c>
      <c r="AD102" s="1942">
        <f t="shared" si="43"/>
        <v>0.6</v>
      </c>
      <c r="AE102" s="1942">
        <f t="shared" si="43"/>
        <v>0.6</v>
      </c>
      <c r="AG102" s="1940" t="s">
        <v>1147</v>
      </c>
      <c r="AH102" s="1944" t="s">
        <v>116</v>
      </c>
      <c r="AI102" s="1945" t="s">
        <v>117</v>
      </c>
      <c r="AJ102" s="1942">
        <v>0.6</v>
      </c>
      <c r="AK102" s="1942">
        <v>0.6</v>
      </c>
      <c r="AL102" s="1942">
        <v>0.6</v>
      </c>
      <c r="AM102" s="1942">
        <v>0.6</v>
      </c>
      <c r="AN102" s="1942">
        <v>0.6</v>
      </c>
      <c r="AO102" s="1942"/>
      <c r="AP102" s="1942"/>
      <c r="AQ102" s="1951">
        <v>0</v>
      </c>
      <c r="AR102" s="1942">
        <v>0.6</v>
      </c>
      <c r="AS102" s="1947">
        <v>0.6</v>
      </c>
      <c r="AT102" s="1948">
        <v>0.6</v>
      </c>
      <c r="AU102" s="1947">
        <v>0.6</v>
      </c>
      <c r="AV102" s="1947">
        <v>0.6</v>
      </c>
      <c r="AX102" s="1940" t="s">
        <v>1147</v>
      </c>
      <c r="AY102" s="1944" t="s">
        <v>116</v>
      </c>
      <c r="AZ102" s="1945" t="s">
        <v>117</v>
      </c>
      <c r="BA102" s="1947">
        <v>0.6</v>
      </c>
      <c r="BB102" s="1947">
        <v>0.6</v>
      </c>
      <c r="BC102" s="1947">
        <v>0.6</v>
      </c>
      <c r="BD102" s="1947">
        <v>0.6</v>
      </c>
      <c r="BE102" s="1947">
        <v>0.6</v>
      </c>
      <c r="BF102" s="1947"/>
      <c r="BG102" s="1947"/>
      <c r="BH102" s="1954">
        <v>0</v>
      </c>
      <c r="BI102" s="1947">
        <v>0.6</v>
      </c>
      <c r="BJ102" s="1947">
        <v>0.6</v>
      </c>
      <c r="BK102" s="1948">
        <v>0.6</v>
      </c>
      <c r="BL102" s="1947">
        <v>0.6</v>
      </c>
      <c r="BM102" s="1947">
        <v>0.6</v>
      </c>
      <c r="BO102" s="1940" t="s">
        <v>3675</v>
      </c>
      <c r="BP102" s="1944" t="s">
        <v>116</v>
      </c>
      <c r="BQ102" s="1945" t="s">
        <v>117</v>
      </c>
      <c r="BR102" s="1947">
        <v>0.6</v>
      </c>
      <c r="BS102" s="1947">
        <v>0.6</v>
      </c>
      <c r="BT102" s="1947">
        <v>0.6</v>
      </c>
      <c r="BU102" s="1947">
        <v>0.6</v>
      </c>
      <c r="BV102" s="1947">
        <v>0.6</v>
      </c>
      <c r="BW102" s="1947"/>
      <c r="BX102" s="1947"/>
      <c r="BY102" s="1954">
        <v>0</v>
      </c>
      <c r="BZ102" s="1947">
        <v>0.6</v>
      </c>
      <c r="CA102" s="1947">
        <v>0.6</v>
      </c>
      <c r="CB102" s="1948">
        <v>0.6</v>
      </c>
      <c r="CC102" s="1947">
        <v>0.6</v>
      </c>
      <c r="CD102" s="1947">
        <v>0.6</v>
      </c>
      <c r="CE102" s="2302"/>
      <c r="CG102" s="1940" t="s">
        <v>3544</v>
      </c>
      <c r="CH102" s="1944" t="s">
        <v>116</v>
      </c>
      <c r="CI102" s="1945" t="s">
        <v>117</v>
      </c>
      <c r="CJ102" s="2943">
        <v>0</v>
      </c>
      <c r="CK102" s="2943">
        <v>0</v>
      </c>
      <c r="CL102" s="2943">
        <v>0</v>
      </c>
      <c r="CM102" s="2943">
        <v>0</v>
      </c>
      <c r="CN102" s="2943">
        <v>0</v>
      </c>
      <c r="CO102" s="2943">
        <v>0</v>
      </c>
      <c r="CP102" s="2943">
        <v>0</v>
      </c>
      <c r="CQ102" s="2943">
        <v>0</v>
      </c>
      <c r="CR102" s="2943">
        <v>0</v>
      </c>
      <c r="CS102" s="2943">
        <v>0</v>
      </c>
      <c r="CT102" s="2943">
        <v>0</v>
      </c>
      <c r="CU102" s="2943">
        <v>0</v>
      </c>
      <c r="CV102" s="2943">
        <v>0</v>
      </c>
      <c r="CW102" s="2445"/>
      <c r="CX102" s="1940" t="s">
        <v>3544</v>
      </c>
      <c r="CY102" s="1944" t="s">
        <v>116</v>
      </c>
      <c r="CZ102" s="1945" t="s">
        <v>117</v>
      </c>
      <c r="DA102" s="2944">
        <v>0</v>
      </c>
      <c r="DB102" s="2945"/>
      <c r="DC102" s="2945"/>
      <c r="DD102" s="2945"/>
      <c r="DE102" s="2945"/>
      <c r="DF102" s="2945"/>
      <c r="DG102" s="2945"/>
      <c r="DH102" s="2945"/>
      <c r="DI102" s="2945"/>
      <c r="DJ102" s="2945"/>
      <c r="DK102" s="2945"/>
      <c r="DL102" s="2945"/>
      <c r="DM102" s="2945"/>
    </row>
    <row r="103" spans="1:117">
      <c r="B103" s="1914" t="str">
        <f t="shared" si="42"/>
        <v>3.1.2</v>
      </c>
      <c r="C103" s="1937" t="str">
        <f t="shared" si="36"/>
        <v>空間の形状・自由さ</v>
      </c>
      <c r="D103" s="1927">
        <f>IF(I$101&gt;0,G103/I$101,0)</f>
        <v>0.4</v>
      </c>
      <c r="E103" s="1939">
        <f>IF(J$101&gt;0,H103/J$101,0)</f>
        <v>0.4</v>
      </c>
      <c r="G103" s="1939">
        <f t="shared" si="37"/>
        <v>0.39370078740157483</v>
      </c>
      <c r="H103" s="1939">
        <f t="shared" si="38"/>
        <v>6.2992125984251968E-3</v>
      </c>
      <c r="I103" s="1939"/>
      <c r="J103" s="1939"/>
      <c r="K103" s="1939">
        <f>IF(スコア!Q103=0,0,1)</f>
        <v>1</v>
      </c>
      <c r="L103" s="1939">
        <f>IF(スコア!T103=0,0,1)</f>
        <v>1</v>
      </c>
      <c r="M103" s="1939">
        <f t="shared" si="39"/>
        <v>0.39370078740157483</v>
      </c>
      <c r="N103" s="1939">
        <f t="shared" si="47"/>
        <v>6.2992125984251968E-3</v>
      </c>
      <c r="P103" s="1940" t="str">
        <f t="shared" si="32"/>
        <v>3.1.2</v>
      </c>
      <c r="Q103" s="1940" t="str">
        <f t="shared" si="32"/>
        <v xml:space="preserve"> Q2 3.1</v>
      </c>
      <c r="R103" s="1941" t="str">
        <f t="shared" si="32"/>
        <v>空間の形状・自由さ</v>
      </c>
      <c r="S103" s="1942">
        <f t="shared" si="32"/>
        <v>0.4</v>
      </c>
      <c r="T103" s="1942">
        <f t="shared" si="32"/>
        <v>0.4</v>
      </c>
      <c r="U103" s="1942">
        <f t="shared" si="32"/>
        <v>0.4</v>
      </c>
      <c r="V103" s="1942">
        <f t="shared" si="32"/>
        <v>0.4</v>
      </c>
      <c r="W103" s="1942">
        <f t="shared" si="43"/>
        <v>0.4</v>
      </c>
      <c r="X103" s="1942">
        <f t="shared" si="43"/>
        <v>0</v>
      </c>
      <c r="Y103" s="1942">
        <f t="shared" si="43"/>
        <v>0</v>
      </c>
      <c r="Z103" s="1951">
        <f t="shared" si="43"/>
        <v>1</v>
      </c>
      <c r="AA103" s="1942">
        <f t="shared" si="43"/>
        <v>0.4</v>
      </c>
      <c r="AB103" s="1942">
        <f t="shared" si="43"/>
        <v>0.4</v>
      </c>
      <c r="AC103" s="1943">
        <f t="shared" si="43"/>
        <v>0.4</v>
      </c>
      <c r="AD103" s="1942">
        <f t="shared" si="43"/>
        <v>0.4</v>
      </c>
      <c r="AE103" s="1942">
        <f t="shared" si="43"/>
        <v>0.4</v>
      </c>
      <c r="AG103" s="1940" t="s">
        <v>1148</v>
      </c>
      <c r="AH103" s="1944" t="s">
        <v>116</v>
      </c>
      <c r="AI103" s="1945" t="s">
        <v>118</v>
      </c>
      <c r="AJ103" s="1942">
        <v>0.4</v>
      </c>
      <c r="AK103" s="1942">
        <v>0.4</v>
      </c>
      <c r="AL103" s="1942">
        <v>0.4</v>
      </c>
      <c r="AM103" s="1942">
        <v>0.4</v>
      </c>
      <c r="AN103" s="1942">
        <v>0.4</v>
      </c>
      <c r="AO103" s="1942"/>
      <c r="AP103" s="1942"/>
      <c r="AQ103" s="1951">
        <v>1</v>
      </c>
      <c r="AR103" s="1942">
        <v>0.4</v>
      </c>
      <c r="AS103" s="1947">
        <v>0.4</v>
      </c>
      <c r="AT103" s="1948">
        <v>0.4</v>
      </c>
      <c r="AU103" s="1947">
        <v>0.4</v>
      </c>
      <c r="AV103" s="1947">
        <v>0.4</v>
      </c>
      <c r="AX103" s="1940" t="s">
        <v>1148</v>
      </c>
      <c r="AY103" s="1944" t="s">
        <v>116</v>
      </c>
      <c r="AZ103" s="1945" t="s">
        <v>118</v>
      </c>
      <c r="BA103" s="1947">
        <v>0.4</v>
      </c>
      <c r="BB103" s="1947">
        <v>0.4</v>
      </c>
      <c r="BC103" s="1947">
        <v>0.4</v>
      </c>
      <c r="BD103" s="1947">
        <v>0.4</v>
      </c>
      <c r="BE103" s="1947">
        <v>0.4</v>
      </c>
      <c r="BF103" s="1947"/>
      <c r="BG103" s="1947"/>
      <c r="BH103" s="1954">
        <v>1</v>
      </c>
      <c r="BI103" s="1947">
        <v>0.4</v>
      </c>
      <c r="BJ103" s="1947">
        <v>0.4</v>
      </c>
      <c r="BK103" s="1948">
        <v>0.4</v>
      </c>
      <c r="BL103" s="1947">
        <v>0.4</v>
      </c>
      <c r="BM103" s="1947">
        <v>0.4</v>
      </c>
      <c r="BO103" s="1940" t="s">
        <v>3676</v>
      </c>
      <c r="BP103" s="1944" t="s">
        <v>116</v>
      </c>
      <c r="BQ103" s="1945" t="s">
        <v>118</v>
      </c>
      <c r="BR103" s="1947">
        <v>0.4</v>
      </c>
      <c r="BS103" s="1947">
        <v>0.4</v>
      </c>
      <c r="BT103" s="1947">
        <v>0.4</v>
      </c>
      <c r="BU103" s="1947">
        <v>0.4</v>
      </c>
      <c r="BV103" s="1947">
        <v>0.4</v>
      </c>
      <c r="BW103" s="1947"/>
      <c r="BX103" s="1947"/>
      <c r="BY103" s="1954">
        <v>1</v>
      </c>
      <c r="BZ103" s="1947">
        <v>0.4</v>
      </c>
      <c r="CA103" s="1947">
        <v>0.4</v>
      </c>
      <c r="CB103" s="1948">
        <v>0.4</v>
      </c>
      <c r="CC103" s="1947">
        <v>0.4</v>
      </c>
      <c r="CD103" s="1947">
        <v>0.4</v>
      </c>
      <c r="CE103" s="2302"/>
      <c r="CG103" s="1940" t="s">
        <v>3490</v>
      </c>
      <c r="CH103" s="1944" t="s">
        <v>116</v>
      </c>
      <c r="CI103" s="1945" t="s">
        <v>118</v>
      </c>
      <c r="CJ103" s="2943">
        <v>0</v>
      </c>
      <c r="CK103" s="2943">
        <v>0</v>
      </c>
      <c r="CL103" s="2943">
        <v>0</v>
      </c>
      <c r="CM103" s="2943">
        <v>0</v>
      </c>
      <c r="CN103" s="2943">
        <v>0</v>
      </c>
      <c r="CO103" s="2943">
        <v>0</v>
      </c>
      <c r="CP103" s="2943">
        <v>0</v>
      </c>
      <c r="CQ103" s="2943">
        <v>0</v>
      </c>
      <c r="CR103" s="2943">
        <v>0</v>
      </c>
      <c r="CS103" s="2943">
        <v>0</v>
      </c>
      <c r="CT103" s="2943">
        <v>0</v>
      </c>
      <c r="CU103" s="2943">
        <v>0</v>
      </c>
      <c r="CV103" s="2943">
        <v>0</v>
      </c>
      <c r="CW103" s="2445"/>
      <c r="CX103" s="1940" t="s">
        <v>3490</v>
      </c>
      <c r="CY103" s="1944" t="s">
        <v>116</v>
      </c>
      <c r="CZ103" s="1945" t="s">
        <v>118</v>
      </c>
      <c r="DA103" s="2944">
        <v>1</v>
      </c>
      <c r="DB103" s="2945"/>
      <c r="DC103" s="2945"/>
      <c r="DD103" s="2945"/>
      <c r="DE103" s="2945"/>
      <c r="DF103" s="2945"/>
      <c r="DG103" s="2945"/>
      <c r="DH103" s="2945"/>
      <c r="DI103" s="2945"/>
      <c r="DJ103" s="2945"/>
      <c r="DK103" s="2945"/>
      <c r="DL103" s="2945"/>
      <c r="DM103" s="2945"/>
    </row>
    <row r="104" spans="1:117">
      <c r="B104" s="1914">
        <f t="shared" si="42"/>
        <v>3.2</v>
      </c>
      <c r="C104" s="1941" t="str">
        <f t="shared" si="36"/>
        <v>荷重のゆとり</v>
      </c>
      <c r="D104" s="1938">
        <f>IF(I$100=0,0,G104/I$100)</f>
        <v>0.29527559055118108</v>
      </c>
      <c r="E104" s="1939">
        <f>IF(J$100=0,0,H104/J$100)</f>
        <v>0.5</v>
      </c>
      <c r="G104" s="1939">
        <f t="shared" si="37"/>
        <v>0.29527559055118108</v>
      </c>
      <c r="H104" s="1939">
        <f t="shared" si="38"/>
        <v>7.874015748031496E-3</v>
      </c>
      <c r="I104" s="1939"/>
      <c r="J104" s="1939"/>
      <c r="K104" s="1939">
        <f>IF(スコア!Q104=0,0,1)</f>
        <v>1</v>
      </c>
      <c r="L104" s="1939">
        <f>IF(スコア!T104=0,0,1)</f>
        <v>1</v>
      </c>
      <c r="M104" s="1939">
        <f t="shared" si="39"/>
        <v>0.29527559055118108</v>
      </c>
      <c r="N104" s="1939">
        <f t="shared" si="47"/>
        <v>7.874015748031496E-3</v>
      </c>
      <c r="P104" s="1940">
        <f t="shared" si="32"/>
        <v>3.2</v>
      </c>
      <c r="Q104" s="1940" t="str">
        <f t="shared" si="32"/>
        <v xml:space="preserve"> Q2 3</v>
      </c>
      <c r="R104" s="1941" t="str">
        <f t="shared" si="32"/>
        <v>荷重のゆとり</v>
      </c>
      <c r="S104" s="1942">
        <f t="shared" si="32"/>
        <v>0.3</v>
      </c>
      <c r="T104" s="1942">
        <f t="shared" si="32"/>
        <v>0.3</v>
      </c>
      <c r="U104" s="1942">
        <f t="shared" si="32"/>
        <v>0.3</v>
      </c>
      <c r="V104" s="1942">
        <f t="shared" si="32"/>
        <v>0.3</v>
      </c>
      <c r="W104" s="1942">
        <f t="shared" si="43"/>
        <v>0.3</v>
      </c>
      <c r="X104" s="1942">
        <f t="shared" si="43"/>
        <v>0</v>
      </c>
      <c r="Y104" s="1942">
        <f t="shared" si="43"/>
        <v>0</v>
      </c>
      <c r="Z104" s="1951">
        <f t="shared" si="43"/>
        <v>0.3</v>
      </c>
      <c r="AA104" s="1942">
        <f t="shared" si="43"/>
        <v>0.3</v>
      </c>
      <c r="AB104" s="1942">
        <f t="shared" si="43"/>
        <v>0.3</v>
      </c>
      <c r="AC104" s="1943">
        <f t="shared" si="43"/>
        <v>0.5</v>
      </c>
      <c r="AD104" s="1942">
        <f t="shared" si="43"/>
        <v>0.5</v>
      </c>
      <c r="AE104" s="1942">
        <f t="shared" si="43"/>
        <v>0.5</v>
      </c>
      <c r="AG104" s="1940">
        <v>3.2</v>
      </c>
      <c r="AH104" s="1944" t="s">
        <v>115</v>
      </c>
      <c r="AI104" s="1941" t="s">
        <v>1022</v>
      </c>
      <c r="AJ104" s="1942">
        <v>0.3</v>
      </c>
      <c r="AK104" s="1942">
        <v>0.3</v>
      </c>
      <c r="AL104" s="1942">
        <v>0.3</v>
      </c>
      <c r="AM104" s="1942">
        <v>0.3</v>
      </c>
      <c r="AN104" s="1942">
        <v>0.3</v>
      </c>
      <c r="AO104" s="1942"/>
      <c r="AP104" s="1942"/>
      <c r="AQ104" s="1951">
        <v>0.3</v>
      </c>
      <c r="AR104" s="1942">
        <v>0.3</v>
      </c>
      <c r="AS104" s="1947">
        <v>0.3</v>
      </c>
      <c r="AT104" s="1948">
        <v>0.5</v>
      </c>
      <c r="AU104" s="1947">
        <v>0.5</v>
      </c>
      <c r="AV104" s="1947">
        <v>0.5</v>
      </c>
      <c r="AX104" s="1940">
        <v>3.2</v>
      </c>
      <c r="AY104" s="1944" t="s">
        <v>115</v>
      </c>
      <c r="AZ104" s="1941" t="s">
        <v>1022</v>
      </c>
      <c r="BA104" s="1947">
        <v>0.3</v>
      </c>
      <c r="BB104" s="1947">
        <v>0.3</v>
      </c>
      <c r="BC104" s="1947">
        <v>0.3</v>
      </c>
      <c r="BD104" s="1947">
        <v>0.3</v>
      </c>
      <c r="BE104" s="1947">
        <v>0.3</v>
      </c>
      <c r="BF104" s="1947"/>
      <c r="BG104" s="1947"/>
      <c r="BH104" s="1954">
        <v>0.3</v>
      </c>
      <c r="BI104" s="1947">
        <v>0.3</v>
      </c>
      <c r="BJ104" s="1947">
        <v>0.3</v>
      </c>
      <c r="BK104" s="1948">
        <v>0.5</v>
      </c>
      <c r="BL104" s="1947">
        <v>0.5</v>
      </c>
      <c r="BM104" s="1947">
        <v>0.5</v>
      </c>
      <c r="BO104" s="1940">
        <v>3.2</v>
      </c>
      <c r="BP104" s="1944" t="s">
        <v>115</v>
      </c>
      <c r="BQ104" s="1941" t="s">
        <v>1022</v>
      </c>
      <c r="BR104" s="1947">
        <v>0.3</v>
      </c>
      <c r="BS104" s="1947">
        <v>0.3</v>
      </c>
      <c r="BT104" s="1947">
        <v>0.3</v>
      </c>
      <c r="BU104" s="1947">
        <v>0.3</v>
      </c>
      <c r="BV104" s="1947">
        <v>0.3</v>
      </c>
      <c r="BW104" s="1947"/>
      <c r="BX104" s="1947"/>
      <c r="BY104" s="1954">
        <v>0.3</v>
      </c>
      <c r="BZ104" s="1947">
        <v>0.3</v>
      </c>
      <c r="CA104" s="1947">
        <v>0.3</v>
      </c>
      <c r="CB104" s="1948">
        <v>0.5</v>
      </c>
      <c r="CC104" s="1947">
        <v>0.5</v>
      </c>
      <c r="CD104" s="1947">
        <v>0.5</v>
      </c>
      <c r="CE104" s="2302"/>
      <c r="CG104" s="1940">
        <v>3.2</v>
      </c>
      <c r="CH104" s="1944" t="s">
        <v>115</v>
      </c>
      <c r="CI104" s="1941" t="s">
        <v>1022</v>
      </c>
      <c r="CJ104" s="2943">
        <v>0</v>
      </c>
      <c r="CK104" s="2943">
        <v>0</v>
      </c>
      <c r="CL104" s="2943">
        <v>0</v>
      </c>
      <c r="CM104" s="2943">
        <v>0</v>
      </c>
      <c r="CN104" s="2943">
        <v>0</v>
      </c>
      <c r="CO104" s="2943">
        <v>0</v>
      </c>
      <c r="CP104" s="2943">
        <v>0</v>
      </c>
      <c r="CQ104" s="2943">
        <v>0</v>
      </c>
      <c r="CR104" s="2943">
        <v>0</v>
      </c>
      <c r="CS104" s="2943">
        <v>0</v>
      </c>
      <c r="CT104" s="2943">
        <v>0</v>
      </c>
      <c r="CU104" s="2943">
        <v>0</v>
      </c>
      <c r="CV104" s="2943">
        <v>0</v>
      </c>
      <c r="CW104" s="2445"/>
      <c r="CX104" s="1940">
        <v>3.2</v>
      </c>
      <c r="CY104" s="1944" t="s">
        <v>115</v>
      </c>
      <c r="CZ104" s="1941" t="s">
        <v>1022</v>
      </c>
      <c r="DA104" s="2945">
        <f t="shared" si="41"/>
        <v>0.3</v>
      </c>
      <c r="DB104" s="2945"/>
      <c r="DC104" s="2945"/>
      <c r="DD104" s="2945"/>
      <c r="DE104" s="2945"/>
      <c r="DF104" s="2945"/>
      <c r="DG104" s="2945"/>
      <c r="DH104" s="2945"/>
      <c r="DI104" s="2945"/>
      <c r="DJ104" s="2945"/>
      <c r="DK104" s="2945"/>
      <c r="DL104" s="2945"/>
      <c r="DM104" s="2945"/>
    </row>
    <row r="105" spans="1:117">
      <c r="B105" s="1914">
        <f t="shared" si="42"/>
        <v>3.3</v>
      </c>
      <c r="C105" s="1941" t="str">
        <f t="shared" si="36"/>
        <v>設備の更新性</v>
      </c>
      <c r="D105" s="1938">
        <f>IF(I$100=0,0,G105/I$100)</f>
        <v>0.40944881889763785</v>
      </c>
      <c r="E105" s="1939">
        <f>IF(J$100=0,0,H105/J$100)</f>
        <v>0</v>
      </c>
      <c r="G105" s="1939">
        <f t="shared" si="37"/>
        <v>0.40944881889763785</v>
      </c>
      <c r="H105" s="1939">
        <f t="shared" si="38"/>
        <v>0</v>
      </c>
      <c r="I105" s="1939">
        <f>SUM(G106:G111)</f>
        <v>1</v>
      </c>
      <c r="J105" s="1939">
        <f>SUM(H106:H111)</f>
        <v>0</v>
      </c>
      <c r="K105" s="1939">
        <f>IF(スコア!Q105=0,0,1)</f>
        <v>1</v>
      </c>
      <c r="L105" s="1939">
        <f>IF(スコア!T105=0,0,1)</f>
        <v>0</v>
      </c>
      <c r="M105" s="1939">
        <f t="shared" si="39"/>
        <v>0.40944881889763785</v>
      </c>
      <c r="N105" s="1939">
        <f t="shared" si="47"/>
        <v>0</v>
      </c>
      <c r="P105" s="1940">
        <f t="shared" si="32"/>
        <v>3.3</v>
      </c>
      <c r="Q105" s="1940" t="str">
        <f t="shared" si="32"/>
        <v xml:space="preserve"> Q2 3</v>
      </c>
      <c r="R105" s="1941" t="str">
        <f t="shared" si="32"/>
        <v>設備の更新性</v>
      </c>
      <c r="S105" s="1942">
        <f t="shared" si="32"/>
        <v>0.4</v>
      </c>
      <c r="T105" s="1942">
        <f t="shared" si="32"/>
        <v>0.4</v>
      </c>
      <c r="U105" s="1942">
        <f t="shared" si="32"/>
        <v>0.4</v>
      </c>
      <c r="V105" s="1942">
        <f t="shared" si="32"/>
        <v>0.4</v>
      </c>
      <c r="W105" s="1942">
        <f t="shared" si="43"/>
        <v>0.4</v>
      </c>
      <c r="X105" s="1942">
        <f t="shared" si="43"/>
        <v>1</v>
      </c>
      <c r="Y105" s="1942">
        <f t="shared" si="43"/>
        <v>1</v>
      </c>
      <c r="Z105" s="1951">
        <f t="shared" si="43"/>
        <v>0.4</v>
      </c>
      <c r="AA105" s="1942">
        <f t="shared" si="43"/>
        <v>0.4</v>
      </c>
      <c r="AB105" s="1942">
        <f t="shared" si="43"/>
        <v>0.4</v>
      </c>
      <c r="AC105" s="1943">
        <f t="shared" si="43"/>
        <v>0</v>
      </c>
      <c r="AD105" s="1942">
        <f t="shared" si="43"/>
        <v>0</v>
      </c>
      <c r="AE105" s="1942">
        <f t="shared" si="43"/>
        <v>0</v>
      </c>
      <c r="AG105" s="1940">
        <v>3.3</v>
      </c>
      <c r="AH105" s="1944" t="s">
        <v>115</v>
      </c>
      <c r="AI105" s="1941" t="s">
        <v>1023</v>
      </c>
      <c r="AJ105" s="1942">
        <v>0.4</v>
      </c>
      <c r="AK105" s="1942">
        <v>0.4</v>
      </c>
      <c r="AL105" s="1942">
        <v>0.4</v>
      </c>
      <c r="AM105" s="1942">
        <v>0.4</v>
      </c>
      <c r="AN105" s="1942">
        <v>0.4</v>
      </c>
      <c r="AO105" s="1942">
        <v>1</v>
      </c>
      <c r="AP105" s="1942">
        <v>1</v>
      </c>
      <c r="AQ105" s="1951">
        <v>0.4</v>
      </c>
      <c r="AR105" s="1942">
        <v>0.4</v>
      </c>
      <c r="AS105" s="1947">
        <v>0.4</v>
      </c>
      <c r="AT105" s="1948"/>
      <c r="AU105" s="1947"/>
      <c r="AV105" s="1947"/>
      <c r="AX105" s="1940">
        <v>3.3</v>
      </c>
      <c r="AY105" s="1944" t="s">
        <v>115</v>
      </c>
      <c r="AZ105" s="1941" t="s">
        <v>1023</v>
      </c>
      <c r="BA105" s="1947">
        <v>0.4</v>
      </c>
      <c r="BB105" s="1947">
        <v>0.4</v>
      </c>
      <c r="BC105" s="1947">
        <v>0.4</v>
      </c>
      <c r="BD105" s="1947">
        <v>0.4</v>
      </c>
      <c r="BE105" s="1947">
        <v>0.4</v>
      </c>
      <c r="BF105" s="1947">
        <v>1</v>
      </c>
      <c r="BG105" s="1947">
        <v>1</v>
      </c>
      <c r="BH105" s="1954">
        <v>0.4</v>
      </c>
      <c r="BI105" s="1947">
        <v>0.4</v>
      </c>
      <c r="BJ105" s="1947">
        <v>0.4</v>
      </c>
      <c r="BK105" s="1948"/>
      <c r="BL105" s="1947"/>
      <c r="BM105" s="1947"/>
      <c r="BO105" s="1940">
        <v>3.3</v>
      </c>
      <c r="BP105" s="1944" t="s">
        <v>115</v>
      </c>
      <c r="BQ105" s="1941" t="s">
        <v>1023</v>
      </c>
      <c r="BR105" s="1947">
        <v>0.4</v>
      </c>
      <c r="BS105" s="1947">
        <v>0.4</v>
      </c>
      <c r="BT105" s="1947">
        <v>0.4</v>
      </c>
      <c r="BU105" s="1947">
        <v>0.4</v>
      </c>
      <c r="BV105" s="1947">
        <v>0.4</v>
      </c>
      <c r="BW105" s="1947">
        <v>1</v>
      </c>
      <c r="BX105" s="1947">
        <v>1</v>
      </c>
      <c r="BY105" s="1954">
        <v>0.4</v>
      </c>
      <c r="BZ105" s="1947">
        <v>0.4</v>
      </c>
      <c r="CA105" s="1947">
        <v>0.4</v>
      </c>
      <c r="CB105" s="1948"/>
      <c r="CC105" s="1947"/>
      <c r="CD105" s="1947"/>
      <c r="CE105" s="2302"/>
      <c r="CG105" s="1940">
        <v>3.3</v>
      </c>
      <c r="CH105" s="1944" t="s">
        <v>115</v>
      </c>
      <c r="CI105" s="1941" t="s">
        <v>1023</v>
      </c>
      <c r="CJ105" s="2943">
        <v>0</v>
      </c>
      <c r="CK105" s="2943">
        <v>0</v>
      </c>
      <c r="CL105" s="2943">
        <v>0</v>
      </c>
      <c r="CM105" s="2943">
        <v>0</v>
      </c>
      <c r="CN105" s="2943">
        <v>0</v>
      </c>
      <c r="CO105" s="2943">
        <v>0</v>
      </c>
      <c r="CP105" s="2943">
        <v>0</v>
      </c>
      <c r="CQ105" s="2943">
        <v>0</v>
      </c>
      <c r="CR105" s="2943">
        <v>0</v>
      </c>
      <c r="CS105" s="2943">
        <v>0</v>
      </c>
      <c r="CT105" s="2943">
        <v>0</v>
      </c>
      <c r="CU105" s="2943">
        <v>0</v>
      </c>
      <c r="CV105" s="2943">
        <v>0</v>
      </c>
      <c r="CW105" s="2445"/>
      <c r="CX105" s="1940">
        <v>3.3</v>
      </c>
      <c r="CY105" s="1944" t="s">
        <v>115</v>
      </c>
      <c r="CZ105" s="1941" t="s">
        <v>1023</v>
      </c>
      <c r="DA105" s="2945">
        <f t="shared" si="41"/>
        <v>0.4</v>
      </c>
      <c r="DB105" s="2945"/>
      <c r="DC105" s="2945"/>
      <c r="DD105" s="2945"/>
      <c r="DE105" s="2945"/>
      <c r="DF105" s="2945"/>
      <c r="DG105" s="2945"/>
      <c r="DH105" s="2945"/>
      <c r="DI105" s="2945"/>
      <c r="DJ105" s="2945"/>
      <c r="DK105" s="2945"/>
      <c r="DL105" s="2945"/>
      <c r="DM105" s="2945"/>
    </row>
    <row r="106" spans="1:117">
      <c r="B106" s="1914" t="str">
        <f t="shared" si="42"/>
        <v>3.3.1</v>
      </c>
      <c r="C106" s="1937" t="str">
        <f t="shared" si="36"/>
        <v>空調配管の更新性</v>
      </c>
      <c r="D106" s="1927">
        <f t="shared" ref="D106:E111" si="48">IF(I$105&gt;0,G106/I$105,0)</f>
        <v>0.2</v>
      </c>
      <c r="E106" s="1939">
        <f t="shared" si="48"/>
        <v>0</v>
      </c>
      <c r="G106" s="1939">
        <f t="shared" si="37"/>
        <v>0.2</v>
      </c>
      <c r="H106" s="1939">
        <f t="shared" si="38"/>
        <v>0</v>
      </c>
      <c r="I106" s="1939"/>
      <c r="J106" s="1939"/>
      <c r="K106" s="1939">
        <f>IF(スコア!Q106=0,0,1)</f>
        <v>1</v>
      </c>
      <c r="L106" s="1939">
        <f>IF(スコア!T106=0,0,1)</f>
        <v>0</v>
      </c>
      <c r="M106" s="1939">
        <f t="shared" si="39"/>
        <v>0.2</v>
      </c>
      <c r="N106" s="1939">
        <f t="shared" si="47"/>
        <v>0</v>
      </c>
      <c r="P106" s="1940" t="str">
        <f t="shared" si="32"/>
        <v>3.3.1</v>
      </c>
      <c r="Q106" s="1940" t="str">
        <f t="shared" si="32"/>
        <v xml:space="preserve"> Q2 3.3</v>
      </c>
      <c r="R106" s="1941" t="str">
        <f t="shared" si="32"/>
        <v>空調配管の更新性</v>
      </c>
      <c r="S106" s="1942">
        <f t="shared" si="32"/>
        <v>0.2</v>
      </c>
      <c r="T106" s="1942">
        <f t="shared" si="32"/>
        <v>0.2</v>
      </c>
      <c r="U106" s="1942">
        <f t="shared" si="32"/>
        <v>0.2</v>
      </c>
      <c r="V106" s="1942">
        <f t="shared" si="32"/>
        <v>0.2</v>
      </c>
      <c r="W106" s="1942">
        <f t="shared" si="43"/>
        <v>0.2</v>
      </c>
      <c r="X106" s="1942">
        <f t="shared" si="43"/>
        <v>0.2</v>
      </c>
      <c r="Y106" s="1942">
        <f t="shared" si="43"/>
        <v>0.2</v>
      </c>
      <c r="Z106" s="1951">
        <f t="shared" si="43"/>
        <v>0.2</v>
      </c>
      <c r="AA106" s="1942">
        <f t="shared" si="43"/>
        <v>0.2</v>
      </c>
      <c r="AB106" s="1942">
        <f t="shared" si="43"/>
        <v>0.2</v>
      </c>
      <c r="AC106" s="1943">
        <f t="shared" si="43"/>
        <v>0</v>
      </c>
      <c r="AD106" s="1942">
        <f t="shared" si="43"/>
        <v>0</v>
      </c>
      <c r="AE106" s="1942">
        <f t="shared" si="43"/>
        <v>0</v>
      </c>
      <c r="AG106" s="1940" t="s">
        <v>1149</v>
      </c>
      <c r="AH106" s="1944" t="s">
        <v>119</v>
      </c>
      <c r="AI106" s="1945" t="s">
        <v>120</v>
      </c>
      <c r="AJ106" s="1942">
        <v>0.2</v>
      </c>
      <c r="AK106" s="1942">
        <v>0.2</v>
      </c>
      <c r="AL106" s="1942">
        <v>0.2</v>
      </c>
      <c r="AM106" s="1942">
        <v>0.2</v>
      </c>
      <c r="AN106" s="1942">
        <v>0.2</v>
      </c>
      <c r="AO106" s="1942">
        <v>0.2</v>
      </c>
      <c r="AP106" s="1942">
        <v>0.2</v>
      </c>
      <c r="AQ106" s="1951">
        <v>0.2</v>
      </c>
      <c r="AR106" s="1942">
        <v>0.2</v>
      </c>
      <c r="AS106" s="1947">
        <v>0.2</v>
      </c>
      <c r="AT106" s="1948"/>
      <c r="AU106" s="1947"/>
      <c r="AV106" s="1947"/>
      <c r="AX106" s="1940" t="s">
        <v>1149</v>
      </c>
      <c r="AY106" s="1944" t="s">
        <v>119</v>
      </c>
      <c r="AZ106" s="1945" t="s">
        <v>120</v>
      </c>
      <c r="BA106" s="1947">
        <v>0.2</v>
      </c>
      <c r="BB106" s="1947">
        <v>0.2</v>
      </c>
      <c r="BC106" s="1947">
        <v>0.2</v>
      </c>
      <c r="BD106" s="1947">
        <v>0.2</v>
      </c>
      <c r="BE106" s="1947">
        <v>0.2</v>
      </c>
      <c r="BF106" s="1947">
        <v>0.2</v>
      </c>
      <c r="BG106" s="1947">
        <v>0.2</v>
      </c>
      <c r="BH106" s="1954">
        <v>0.2</v>
      </c>
      <c r="BI106" s="1947">
        <v>0.2</v>
      </c>
      <c r="BJ106" s="1947">
        <v>0.2</v>
      </c>
      <c r="BK106" s="1948"/>
      <c r="BL106" s="1947"/>
      <c r="BM106" s="1947"/>
      <c r="BO106" s="1940" t="s">
        <v>3680</v>
      </c>
      <c r="BP106" s="1944" t="s">
        <v>119</v>
      </c>
      <c r="BQ106" s="1945" t="s">
        <v>120</v>
      </c>
      <c r="BR106" s="1947">
        <v>0.2</v>
      </c>
      <c r="BS106" s="1947">
        <v>0.2</v>
      </c>
      <c r="BT106" s="1947">
        <v>0.2</v>
      </c>
      <c r="BU106" s="1947">
        <v>0.2</v>
      </c>
      <c r="BV106" s="1947">
        <v>0.2</v>
      </c>
      <c r="BW106" s="1947">
        <v>0.2</v>
      </c>
      <c r="BX106" s="1947">
        <v>0.2</v>
      </c>
      <c r="BY106" s="1954">
        <v>0.2</v>
      </c>
      <c r="BZ106" s="1947">
        <v>0.2</v>
      </c>
      <c r="CA106" s="1947">
        <v>0.2</v>
      </c>
      <c r="CB106" s="1948"/>
      <c r="CC106" s="1947"/>
      <c r="CD106" s="1947"/>
      <c r="CE106" s="2302"/>
      <c r="CG106" s="1940" t="s">
        <v>3495</v>
      </c>
      <c r="CH106" s="1944" t="s">
        <v>119</v>
      </c>
      <c r="CI106" s="1945" t="s">
        <v>120</v>
      </c>
      <c r="CJ106" s="2943">
        <v>0</v>
      </c>
      <c r="CK106" s="2943">
        <v>0</v>
      </c>
      <c r="CL106" s="2943">
        <v>0</v>
      </c>
      <c r="CM106" s="2943">
        <v>0</v>
      </c>
      <c r="CN106" s="2943">
        <v>0</v>
      </c>
      <c r="CO106" s="2943">
        <v>0</v>
      </c>
      <c r="CP106" s="2943">
        <v>0</v>
      </c>
      <c r="CQ106" s="2943">
        <v>0</v>
      </c>
      <c r="CR106" s="2943">
        <v>0</v>
      </c>
      <c r="CS106" s="2943">
        <v>0</v>
      </c>
      <c r="CT106" s="2943">
        <v>0</v>
      </c>
      <c r="CU106" s="2943">
        <v>0</v>
      </c>
      <c r="CV106" s="2943">
        <v>0</v>
      </c>
      <c r="CW106" s="2445"/>
      <c r="CX106" s="1940" t="s">
        <v>3495</v>
      </c>
      <c r="CY106" s="1944" t="s">
        <v>119</v>
      </c>
      <c r="CZ106" s="1945" t="s">
        <v>120</v>
      </c>
      <c r="DA106" s="2944">
        <v>0</v>
      </c>
      <c r="DB106" s="2945"/>
      <c r="DC106" s="2945"/>
      <c r="DD106" s="2945"/>
      <c r="DE106" s="2945"/>
      <c r="DF106" s="2945"/>
      <c r="DG106" s="2945"/>
      <c r="DH106" s="2945"/>
      <c r="DI106" s="2945"/>
      <c r="DJ106" s="2945"/>
      <c r="DK106" s="2945"/>
      <c r="DL106" s="2945"/>
      <c r="DM106" s="2945"/>
    </row>
    <row r="107" spans="1:117">
      <c r="B107" s="1914" t="str">
        <f t="shared" si="42"/>
        <v>3.3.2</v>
      </c>
      <c r="C107" s="1937" t="str">
        <f t="shared" si="36"/>
        <v>給排水管の更新性</v>
      </c>
      <c r="D107" s="1927">
        <f t="shared" si="48"/>
        <v>0.2</v>
      </c>
      <c r="E107" s="1939">
        <f t="shared" si="48"/>
        <v>0</v>
      </c>
      <c r="G107" s="1939">
        <f t="shared" si="37"/>
        <v>0.2</v>
      </c>
      <c r="H107" s="1939">
        <f t="shared" si="38"/>
        <v>0</v>
      </c>
      <c r="I107" s="1939"/>
      <c r="J107" s="1939"/>
      <c r="K107" s="1939">
        <f>IF(スコア!Q107=0,0,1)</f>
        <v>1</v>
      </c>
      <c r="L107" s="1939">
        <f>IF(スコア!T107=0,0,1)</f>
        <v>0</v>
      </c>
      <c r="M107" s="1939">
        <f t="shared" si="39"/>
        <v>0.2</v>
      </c>
      <c r="N107" s="1939">
        <f t="shared" si="47"/>
        <v>0</v>
      </c>
      <c r="P107" s="1940" t="str">
        <f t="shared" si="32"/>
        <v>3.3.2</v>
      </c>
      <c r="Q107" s="1940" t="str">
        <f t="shared" si="32"/>
        <v xml:space="preserve"> Q2 3.3</v>
      </c>
      <c r="R107" s="1941" t="str">
        <f t="shared" si="32"/>
        <v>給排水管の更新性</v>
      </c>
      <c r="S107" s="1942">
        <f t="shared" si="32"/>
        <v>0.2</v>
      </c>
      <c r="T107" s="1942">
        <f t="shared" si="32"/>
        <v>0.2</v>
      </c>
      <c r="U107" s="1942">
        <f t="shared" si="32"/>
        <v>0.2</v>
      </c>
      <c r="V107" s="1942">
        <f t="shared" si="32"/>
        <v>0.2</v>
      </c>
      <c r="W107" s="1942">
        <f t="shared" si="43"/>
        <v>0.2</v>
      </c>
      <c r="X107" s="1942">
        <f t="shared" si="43"/>
        <v>0.2</v>
      </c>
      <c r="Y107" s="1942">
        <f t="shared" si="43"/>
        <v>0.2</v>
      </c>
      <c r="Z107" s="1951">
        <f t="shared" si="43"/>
        <v>0.2</v>
      </c>
      <c r="AA107" s="1942">
        <f t="shared" si="43"/>
        <v>0.2</v>
      </c>
      <c r="AB107" s="1942">
        <f t="shared" si="43"/>
        <v>0.2</v>
      </c>
      <c r="AC107" s="1943">
        <f t="shared" si="43"/>
        <v>0</v>
      </c>
      <c r="AD107" s="1942">
        <f t="shared" si="43"/>
        <v>0</v>
      </c>
      <c r="AE107" s="1942">
        <f t="shared" si="43"/>
        <v>0</v>
      </c>
      <c r="AG107" s="1940" t="s">
        <v>1150</v>
      </c>
      <c r="AH107" s="1944" t="s">
        <v>119</v>
      </c>
      <c r="AI107" s="1945" t="s">
        <v>121</v>
      </c>
      <c r="AJ107" s="1942">
        <v>0.2</v>
      </c>
      <c r="AK107" s="1942">
        <v>0.2</v>
      </c>
      <c r="AL107" s="1942">
        <v>0.2</v>
      </c>
      <c r="AM107" s="1942">
        <v>0.2</v>
      </c>
      <c r="AN107" s="1942">
        <v>0.2</v>
      </c>
      <c r="AO107" s="1942">
        <v>0.2</v>
      </c>
      <c r="AP107" s="1942">
        <v>0.2</v>
      </c>
      <c r="AQ107" s="1951">
        <v>0.2</v>
      </c>
      <c r="AR107" s="1942">
        <v>0.2</v>
      </c>
      <c r="AS107" s="1947">
        <v>0.2</v>
      </c>
      <c r="AT107" s="1948"/>
      <c r="AU107" s="1947"/>
      <c r="AV107" s="1947"/>
      <c r="AX107" s="1940" t="s">
        <v>1150</v>
      </c>
      <c r="AY107" s="1944" t="s">
        <v>119</v>
      </c>
      <c r="AZ107" s="1945" t="s">
        <v>121</v>
      </c>
      <c r="BA107" s="1947">
        <v>0.2</v>
      </c>
      <c r="BB107" s="1947">
        <v>0.2</v>
      </c>
      <c r="BC107" s="1947">
        <v>0.2</v>
      </c>
      <c r="BD107" s="1947">
        <v>0.2</v>
      </c>
      <c r="BE107" s="1947">
        <v>0.2</v>
      </c>
      <c r="BF107" s="1947">
        <v>0.2</v>
      </c>
      <c r="BG107" s="1947">
        <v>0.2</v>
      </c>
      <c r="BH107" s="1954">
        <v>0.2</v>
      </c>
      <c r="BI107" s="1947">
        <v>0.2</v>
      </c>
      <c r="BJ107" s="1947">
        <v>0.2</v>
      </c>
      <c r="BK107" s="1948"/>
      <c r="BL107" s="1947"/>
      <c r="BM107" s="1947"/>
      <c r="BO107" s="1940" t="s">
        <v>3681</v>
      </c>
      <c r="BP107" s="1944" t="s">
        <v>119</v>
      </c>
      <c r="BQ107" s="1945" t="s">
        <v>121</v>
      </c>
      <c r="BR107" s="1947">
        <v>0.2</v>
      </c>
      <c r="BS107" s="1947">
        <v>0.2</v>
      </c>
      <c r="BT107" s="1947">
        <v>0.2</v>
      </c>
      <c r="BU107" s="1947">
        <v>0.2</v>
      </c>
      <c r="BV107" s="1947">
        <v>0.2</v>
      </c>
      <c r="BW107" s="1947">
        <v>0.2</v>
      </c>
      <c r="BX107" s="1947">
        <v>0.2</v>
      </c>
      <c r="BY107" s="1954">
        <v>0.2</v>
      </c>
      <c r="BZ107" s="1947">
        <v>0.2</v>
      </c>
      <c r="CA107" s="1947">
        <v>0.2</v>
      </c>
      <c r="CB107" s="1948"/>
      <c r="CC107" s="1947"/>
      <c r="CD107" s="1947"/>
      <c r="CE107" s="2302"/>
      <c r="CG107" s="1940" t="s">
        <v>3497</v>
      </c>
      <c r="CH107" s="1944" t="s">
        <v>119</v>
      </c>
      <c r="CI107" s="1945" t="s">
        <v>121</v>
      </c>
      <c r="CJ107" s="2943">
        <v>0</v>
      </c>
      <c r="CK107" s="2943">
        <v>0</v>
      </c>
      <c r="CL107" s="2943">
        <v>0</v>
      </c>
      <c r="CM107" s="2943">
        <v>0</v>
      </c>
      <c r="CN107" s="2943">
        <v>0</v>
      </c>
      <c r="CO107" s="2943">
        <v>0</v>
      </c>
      <c r="CP107" s="2943">
        <v>0</v>
      </c>
      <c r="CQ107" s="2943">
        <v>0</v>
      </c>
      <c r="CR107" s="2943">
        <v>0</v>
      </c>
      <c r="CS107" s="2943">
        <v>0</v>
      </c>
      <c r="CT107" s="2943">
        <v>0</v>
      </c>
      <c r="CU107" s="2943">
        <v>0</v>
      </c>
      <c r="CV107" s="2943">
        <v>0</v>
      </c>
      <c r="CW107" s="2445"/>
      <c r="CX107" s="1940" t="s">
        <v>3497</v>
      </c>
      <c r="CY107" s="1944" t="s">
        <v>119</v>
      </c>
      <c r="CZ107" s="1945" t="s">
        <v>121</v>
      </c>
      <c r="DA107" s="2944">
        <v>0.4</v>
      </c>
      <c r="DB107" s="2945"/>
      <c r="DC107" s="2945"/>
      <c r="DD107" s="2945"/>
      <c r="DE107" s="2945"/>
      <c r="DF107" s="2945"/>
      <c r="DG107" s="2945"/>
      <c r="DH107" s="2945"/>
      <c r="DI107" s="2945"/>
      <c r="DJ107" s="2945"/>
      <c r="DK107" s="2945"/>
      <c r="DL107" s="2945"/>
      <c r="DM107" s="2945"/>
    </row>
    <row r="108" spans="1:117">
      <c r="B108" s="1914" t="str">
        <f t="shared" si="42"/>
        <v>3.3.3</v>
      </c>
      <c r="C108" s="1937" t="str">
        <f t="shared" ref="C108:C145" si="49">R108</f>
        <v>電気配線の更新性</v>
      </c>
      <c r="D108" s="1927">
        <f t="shared" si="48"/>
        <v>0.1</v>
      </c>
      <c r="E108" s="1939">
        <f t="shared" si="48"/>
        <v>0</v>
      </c>
      <c r="G108" s="1939">
        <f t="shared" ref="G108:G145" si="50">K108*M108</f>
        <v>0.1</v>
      </c>
      <c r="H108" s="1939">
        <f t="shared" ref="H108:H145" si="51">L108*N108</f>
        <v>0</v>
      </c>
      <c r="I108" s="1939"/>
      <c r="J108" s="1939"/>
      <c r="K108" s="1939">
        <f>IF(スコア!Q108=0,0,1)</f>
        <v>1</v>
      </c>
      <c r="L108" s="1939">
        <f>IF(スコア!T108=0,0,1)</f>
        <v>0</v>
      </c>
      <c r="M108" s="1939">
        <f t="shared" ref="M108:M145" si="52">SUMPRODUCT($S$7:$AB$7,S108:AB108)</f>
        <v>0.1</v>
      </c>
      <c r="N108" s="1939">
        <f t="shared" si="47"/>
        <v>0</v>
      </c>
      <c r="P108" s="1940" t="str">
        <f t="shared" si="32"/>
        <v>3.3.3</v>
      </c>
      <c r="Q108" s="1940" t="str">
        <f t="shared" si="32"/>
        <v xml:space="preserve"> Q2 3.3</v>
      </c>
      <c r="R108" s="1941" t="str">
        <f t="shared" si="32"/>
        <v>電気配線の更新性</v>
      </c>
      <c r="S108" s="1942">
        <f t="shared" si="32"/>
        <v>0.1</v>
      </c>
      <c r="T108" s="1942">
        <f t="shared" si="32"/>
        <v>0.1</v>
      </c>
      <c r="U108" s="1942">
        <f t="shared" si="32"/>
        <v>0.1</v>
      </c>
      <c r="V108" s="1942">
        <f t="shared" si="32"/>
        <v>0.1</v>
      </c>
      <c r="W108" s="1942">
        <f t="shared" si="43"/>
        <v>0.1</v>
      </c>
      <c r="X108" s="1942">
        <f t="shared" si="43"/>
        <v>0.1</v>
      </c>
      <c r="Y108" s="1942">
        <f t="shared" si="43"/>
        <v>0.1</v>
      </c>
      <c r="Z108" s="1951">
        <f t="shared" si="43"/>
        <v>0.1</v>
      </c>
      <c r="AA108" s="1942">
        <f t="shared" si="43"/>
        <v>0.1</v>
      </c>
      <c r="AB108" s="1942">
        <f t="shared" si="43"/>
        <v>0.1</v>
      </c>
      <c r="AC108" s="1943">
        <f t="shared" si="43"/>
        <v>0</v>
      </c>
      <c r="AD108" s="1942">
        <f t="shared" si="43"/>
        <v>0</v>
      </c>
      <c r="AE108" s="1942">
        <f t="shared" si="43"/>
        <v>0</v>
      </c>
      <c r="AG108" s="1940" t="s">
        <v>1151</v>
      </c>
      <c r="AH108" s="1944" t="s">
        <v>119</v>
      </c>
      <c r="AI108" s="1945" t="s">
        <v>122</v>
      </c>
      <c r="AJ108" s="1942">
        <v>0.1</v>
      </c>
      <c r="AK108" s="1942">
        <v>0.1</v>
      </c>
      <c r="AL108" s="1942">
        <v>0.1</v>
      </c>
      <c r="AM108" s="1942">
        <v>0.1</v>
      </c>
      <c r="AN108" s="1942">
        <v>0.1</v>
      </c>
      <c r="AO108" s="1942">
        <v>0.1</v>
      </c>
      <c r="AP108" s="1942">
        <v>0.1</v>
      </c>
      <c r="AQ108" s="1951">
        <v>0.1</v>
      </c>
      <c r="AR108" s="1942">
        <v>0.1</v>
      </c>
      <c r="AS108" s="1947">
        <v>0.1</v>
      </c>
      <c r="AT108" s="1948"/>
      <c r="AU108" s="1947"/>
      <c r="AV108" s="1947"/>
      <c r="AX108" s="1940" t="s">
        <v>1151</v>
      </c>
      <c r="AY108" s="1944" t="s">
        <v>119</v>
      </c>
      <c r="AZ108" s="1945" t="s">
        <v>122</v>
      </c>
      <c r="BA108" s="1947">
        <v>0.1</v>
      </c>
      <c r="BB108" s="1947">
        <v>0.1</v>
      </c>
      <c r="BC108" s="1947">
        <v>0.1</v>
      </c>
      <c r="BD108" s="1947">
        <v>0.1</v>
      </c>
      <c r="BE108" s="1947">
        <v>0.1</v>
      </c>
      <c r="BF108" s="1947">
        <v>0.1</v>
      </c>
      <c r="BG108" s="1947">
        <v>0.1</v>
      </c>
      <c r="BH108" s="1954">
        <v>0.1</v>
      </c>
      <c r="BI108" s="1947">
        <v>0.1</v>
      </c>
      <c r="BJ108" s="1947">
        <v>0.1</v>
      </c>
      <c r="BK108" s="1948"/>
      <c r="BL108" s="1947"/>
      <c r="BM108" s="1947"/>
      <c r="BO108" s="1940" t="s">
        <v>3703</v>
      </c>
      <c r="BP108" s="1944" t="s">
        <v>119</v>
      </c>
      <c r="BQ108" s="1945" t="s">
        <v>122</v>
      </c>
      <c r="BR108" s="1947">
        <v>0.1</v>
      </c>
      <c r="BS108" s="1947">
        <v>0.1</v>
      </c>
      <c r="BT108" s="1947">
        <v>0.1</v>
      </c>
      <c r="BU108" s="1947">
        <v>0.1</v>
      </c>
      <c r="BV108" s="1947">
        <v>0.1</v>
      </c>
      <c r="BW108" s="1947">
        <v>0.1</v>
      </c>
      <c r="BX108" s="1947">
        <v>0.1</v>
      </c>
      <c r="BY108" s="1954">
        <v>0.1</v>
      </c>
      <c r="BZ108" s="1947">
        <v>0.1</v>
      </c>
      <c r="CA108" s="1947">
        <v>0.1</v>
      </c>
      <c r="CB108" s="1948"/>
      <c r="CC108" s="1947"/>
      <c r="CD108" s="1947"/>
      <c r="CE108" s="2302"/>
      <c r="CG108" s="1940" t="s">
        <v>3545</v>
      </c>
      <c r="CH108" s="1944" t="s">
        <v>119</v>
      </c>
      <c r="CI108" s="1945" t="s">
        <v>122</v>
      </c>
      <c r="CJ108" s="2943">
        <v>0</v>
      </c>
      <c r="CK108" s="2943">
        <v>0</v>
      </c>
      <c r="CL108" s="2943">
        <v>0</v>
      </c>
      <c r="CM108" s="2943">
        <v>0</v>
      </c>
      <c r="CN108" s="2943">
        <v>0</v>
      </c>
      <c r="CO108" s="2943">
        <v>0</v>
      </c>
      <c r="CP108" s="2943">
        <v>0</v>
      </c>
      <c r="CQ108" s="2943">
        <v>0</v>
      </c>
      <c r="CR108" s="2943">
        <v>0</v>
      </c>
      <c r="CS108" s="2943">
        <v>0</v>
      </c>
      <c r="CT108" s="2943">
        <v>0</v>
      </c>
      <c r="CU108" s="2943">
        <v>0</v>
      </c>
      <c r="CV108" s="2943">
        <v>0</v>
      </c>
      <c r="CW108" s="2445"/>
      <c r="CX108" s="1940" t="s">
        <v>3545</v>
      </c>
      <c r="CY108" s="1944" t="s">
        <v>119</v>
      </c>
      <c r="CZ108" s="1945" t="s">
        <v>122</v>
      </c>
      <c r="DA108" s="2945">
        <f t="shared" si="41"/>
        <v>0.1</v>
      </c>
      <c r="DB108" s="2945"/>
      <c r="DC108" s="2945"/>
      <c r="DD108" s="2945"/>
      <c r="DE108" s="2945"/>
      <c r="DF108" s="2945"/>
      <c r="DG108" s="2945"/>
      <c r="DH108" s="2945"/>
      <c r="DI108" s="2945"/>
      <c r="DJ108" s="2945"/>
      <c r="DK108" s="2945"/>
      <c r="DL108" s="2945"/>
      <c r="DM108" s="2945"/>
    </row>
    <row r="109" spans="1:117">
      <c r="B109" s="1914" t="str">
        <f t="shared" si="42"/>
        <v>3.3.4</v>
      </c>
      <c r="C109" s="1937" t="str">
        <f t="shared" si="49"/>
        <v>通信配線の更新性</v>
      </c>
      <c r="D109" s="1927">
        <f t="shared" si="48"/>
        <v>0.1</v>
      </c>
      <c r="E109" s="1939">
        <f t="shared" si="48"/>
        <v>0</v>
      </c>
      <c r="G109" s="1939">
        <f t="shared" si="50"/>
        <v>0.1</v>
      </c>
      <c r="H109" s="1939">
        <f t="shared" si="51"/>
        <v>0</v>
      </c>
      <c r="I109" s="1939"/>
      <c r="J109" s="1939"/>
      <c r="K109" s="1939">
        <f>IF(スコア!Q109=0,0,1)</f>
        <v>1</v>
      </c>
      <c r="L109" s="1939">
        <f>IF(スコア!T109=0,0,1)</f>
        <v>0</v>
      </c>
      <c r="M109" s="1939">
        <f t="shared" si="52"/>
        <v>0.1</v>
      </c>
      <c r="N109" s="1939">
        <f t="shared" si="47"/>
        <v>0</v>
      </c>
      <c r="P109" s="1940" t="str">
        <f t="shared" si="32"/>
        <v>3.3.4</v>
      </c>
      <c r="Q109" s="1940" t="str">
        <f t="shared" si="32"/>
        <v xml:space="preserve"> Q2 3.3</v>
      </c>
      <c r="R109" s="1941" t="str">
        <f t="shared" si="32"/>
        <v>通信配線の更新性</v>
      </c>
      <c r="S109" s="1942">
        <f t="shared" si="32"/>
        <v>0.1</v>
      </c>
      <c r="T109" s="1942">
        <f t="shared" si="32"/>
        <v>0.1</v>
      </c>
      <c r="U109" s="1942">
        <f t="shared" si="32"/>
        <v>0.1</v>
      </c>
      <c r="V109" s="1942">
        <f t="shared" si="32"/>
        <v>0.1</v>
      </c>
      <c r="W109" s="1942">
        <f t="shared" si="43"/>
        <v>0.1</v>
      </c>
      <c r="X109" s="1942">
        <f t="shared" si="43"/>
        <v>0.1</v>
      </c>
      <c r="Y109" s="1942">
        <f t="shared" si="43"/>
        <v>0.1</v>
      </c>
      <c r="Z109" s="1951">
        <f t="shared" si="43"/>
        <v>0.1</v>
      </c>
      <c r="AA109" s="1942">
        <f t="shared" si="43"/>
        <v>0.1</v>
      </c>
      <c r="AB109" s="1942">
        <f t="shared" si="43"/>
        <v>0.1</v>
      </c>
      <c r="AC109" s="1943">
        <f t="shared" si="43"/>
        <v>0</v>
      </c>
      <c r="AD109" s="1942">
        <f t="shared" si="43"/>
        <v>0</v>
      </c>
      <c r="AE109" s="1942">
        <f t="shared" si="43"/>
        <v>0</v>
      </c>
      <c r="AG109" s="1940" t="s">
        <v>1152</v>
      </c>
      <c r="AH109" s="1944" t="s">
        <v>119</v>
      </c>
      <c r="AI109" s="1945" t="s">
        <v>123</v>
      </c>
      <c r="AJ109" s="1942">
        <v>0.1</v>
      </c>
      <c r="AK109" s="1942">
        <v>0.1</v>
      </c>
      <c r="AL109" s="1942">
        <v>0.1</v>
      </c>
      <c r="AM109" s="1942">
        <v>0.1</v>
      </c>
      <c r="AN109" s="1942">
        <v>0.1</v>
      </c>
      <c r="AO109" s="1942">
        <v>0.1</v>
      </c>
      <c r="AP109" s="1942">
        <v>0.1</v>
      </c>
      <c r="AQ109" s="1951">
        <v>0.1</v>
      </c>
      <c r="AR109" s="1942">
        <v>0.1</v>
      </c>
      <c r="AS109" s="1947">
        <v>0.1</v>
      </c>
      <c r="AT109" s="1948"/>
      <c r="AU109" s="1947"/>
      <c r="AV109" s="1947"/>
      <c r="AX109" s="1940" t="s">
        <v>1152</v>
      </c>
      <c r="AY109" s="1944" t="s">
        <v>119</v>
      </c>
      <c r="AZ109" s="1945" t="s">
        <v>123</v>
      </c>
      <c r="BA109" s="1947">
        <v>0.1</v>
      </c>
      <c r="BB109" s="1947">
        <v>0.1</v>
      </c>
      <c r="BC109" s="1947">
        <v>0.1</v>
      </c>
      <c r="BD109" s="1947">
        <v>0.1</v>
      </c>
      <c r="BE109" s="1947">
        <v>0.1</v>
      </c>
      <c r="BF109" s="1947">
        <v>0.1</v>
      </c>
      <c r="BG109" s="1947">
        <v>0.1</v>
      </c>
      <c r="BH109" s="1954">
        <v>0.1</v>
      </c>
      <c r="BI109" s="1947">
        <v>0.1</v>
      </c>
      <c r="BJ109" s="1947">
        <v>0.1</v>
      </c>
      <c r="BK109" s="1948"/>
      <c r="BL109" s="1947"/>
      <c r="BM109" s="1947"/>
      <c r="BO109" s="1940" t="s">
        <v>3704</v>
      </c>
      <c r="BP109" s="1944" t="s">
        <v>119</v>
      </c>
      <c r="BQ109" s="1945" t="s">
        <v>123</v>
      </c>
      <c r="BR109" s="1947">
        <v>0.1</v>
      </c>
      <c r="BS109" s="1947">
        <v>0.1</v>
      </c>
      <c r="BT109" s="1947">
        <v>0.1</v>
      </c>
      <c r="BU109" s="1947">
        <v>0.1</v>
      </c>
      <c r="BV109" s="1947">
        <v>0.1</v>
      </c>
      <c r="BW109" s="1947">
        <v>0.1</v>
      </c>
      <c r="BX109" s="1947">
        <v>0.1</v>
      </c>
      <c r="BY109" s="1954">
        <v>0.1</v>
      </c>
      <c r="BZ109" s="1947">
        <v>0.1</v>
      </c>
      <c r="CA109" s="1947">
        <v>0.1</v>
      </c>
      <c r="CB109" s="1948"/>
      <c r="CC109" s="1947"/>
      <c r="CD109" s="1947"/>
      <c r="CE109" s="2302"/>
      <c r="CG109" s="1940" t="s">
        <v>3546</v>
      </c>
      <c r="CH109" s="1944" t="s">
        <v>119</v>
      </c>
      <c r="CI109" s="1945" t="s">
        <v>123</v>
      </c>
      <c r="CJ109" s="2943">
        <v>0</v>
      </c>
      <c r="CK109" s="2943">
        <v>0</v>
      </c>
      <c r="CL109" s="2943">
        <v>0</v>
      </c>
      <c r="CM109" s="2943">
        <v>0</v>
      </c>
      <c r="CN109" s="2943">
        <v>0</v>
      </c>
      <c r="CO109" s="2943">
        <v>0</v>
      </c>
      <c r="CP109" s="2943">
        <v>0</v>
      </c>
      <c r="CQ109" s="2943">
        <v>0</v>
      </c>
      <c r="CR109" s="2943">
        <v>0</v>
      </c>
      <c r="CS109" s="2943">
        <v>0</v>
      </c>
      <c r="CT109" s="2943">
        <v>0</v>
      </c>
      <c r="CU109" s="2943">
        <v>0</v>
      </c>
      <c r="CV109" s="2943">
        <v>0</v>
      </c>
      <c r="CW109" s="2445"/>
      <c r="CX109" s="1940" t="s">
        <v>3546</v>
      </c>
      <c r="CY109" s="1944" t="s">
        <v>119</v>
      </c>
      <c r="CZ109" s="1945" t="s">
        <v>123</v>
      </c>
      <c r="DA109" s="2945">
        <f t="shared" si="41"/>
        <v>0.1</v>
      </c>
      <c r="DB109" s="2945"/>
      <c r="DC109" s="2945"/>
      <c r="DD109" s="2945"/>
      <c r="DE109" s="2945"/>
      <c r="DF109" s="2945"/>
      <c r="DG109" s="2945"/>
      <c r="DH109" s="2945"/>
      <c r="DI109" s="2945"/>
      <c r="DJ109" s="2945"/>
      <c r="DK109" s="2945"/>
      <c r="DL109" s="2945"/>
      <c r="DM109" s="2945"/>
    </row>
    <row r="110" spans="1:117">
      <c r="B110" s="1914" t="str">
        <f t="shared" ref="B110:B147" si="53">P110</f>
        <v>3.3.5</v>
      </c>
      <c r="C110" s="1937" t="str">
        <f t="shared" si="49"/>
        <v>設備機器の更新性</v>
      </c>
      <c r="D110" s="1927">
        <f t="shared" si="48"/>
        <v>0.2</v>
      </c>
      <c r="E110" s="1939">
        <f t="shared" si="48"/>
        <v>0</v>
      </c>
      <c r="G110" s="1939">
        <f t="shared" si="50"/>
        <v>0.2</v>
      </c>
      <c r="H110" s="1939">
        <f t="shared" si="51"/>
        <v>0</v>
      </c>
      <c r="I110" s="1939"/>
      <c r="J110" s="1939"/>
      <c r="K110" s="1939">
        <f>IF(スコア!Q110=0,0,1)</f>
        <v>1</v>
      </c>
      <c r="L110" s="1939">
        <f>IF(スコア!T110=0,0,1)</f>
        <v>0</v>
      </c>
      <c r="M110" s="1939">
        <f t="shared" si="52"/>
        <v>0.2</v>
      </c>
      <c r="N110" s="1939">
        <f t="shared" si="47"/>
        <v>0</v>
      </c>
      <c r="P110" s="1940" t="str">
        <f t="shared" si="32"/>
        <v>3.3.5</v>
      </c>
      <c r="Q110" s="1940" t="str">
        <f t="shared" si="32"/>
        <v xml:space="preserve"> Q2 3.3</v>
      </c>
      <c r="R110" s="1941" t="str">
        <f t="shared" si="32"/>
        <v>設備機器の更新性</v>
      </c>
      <c r="S110" s="1942">
        <f t="shared" si="32"/>
        <v>0.2</v>
      </c>
      <c r="T110" s="1942">
        <f t="shared" si="32"/>
        <v>0.2</v>
      </c>
      <c r="U110" s="1942">
        <f t="shared" si="32"/>
        <v>0.2</v>
      </c>
      <c r="V110" s="1942">
        <f t="shared" ref="V110:AB165" si="54">IF($P$3=1,BD110,IF($P$3=2,BU110,IF($P$3=3,CM110,IF($P$3=4,DD110,AM110))))</f>
        <v>0.2</v>
      </c>
      <c r="W110" s="1942">
        <f t="shared" si="43"/>
        <v>0.2</v>
      </c>
      <c r="X110" s="1942">
        <f t="shared" si="43"/>
        <v>0.2</v>
      </c>
      <c r="Y110" s="1942">
        <f t="shared" si="43"/>
        <v>0.2</v>
      </c>
      <c r="Z110" s="1951">
        <f t="shared" ref="Z110:AE152" si="55">IF($P$3=1,BH110,IF($P$3=2,BY110,IF($P$3=3,CQ110,IF($P$3=4,DH110,AQ110))))</f>
        <v>0.2</v>
      </c>
      <c r="AA110" s="1942">
        <f t="shared" si="55"/>
        <v>0.2</v>
      </c>
      <c r="AB110" s="1942">
        <f t="shared" si="55"/>
        <v>0.2</v>
      </c>
      <c r="AC110" s="1943">
        <f t="shared" si="55"/>
        <v>0</v>
      </c>
      <c r="AD110" s="1942">
        <f t="shared" si="55"/>
        <v>0</v>
      </c>
      <c r="AE110" s="1942">
        <f t="shared" si="55"/>
        <v>0</v>
      </c>
      <c r="AG110" s="1940" t="s">
        <v>1153</v>
      </c>
      <c r="AH110" s="1944" t="s">
        <v>119</v>
      </c>
      <c r="AI110" s="1945" t="s">
        <v>124</v>
      </c>
      <c r="AJ110" s="1942">
        <v>0.2</v>
      </c>
      <c r="AK110" s="1942">
        <v>0.2</v>
      </c>
      <c r="AL110" s="1942">
        <v>0.2</v>
      </c>
      <c r="AM110" s="1942">
        <v>0.2</v>
      </c>
      <c r="AN110" s="1942">
        <v>0.2</v>
      </c>
      <c r="AO110" s="1942">
        <v>0.2</v>
      </c>
      <c r="AP110" s="1942">
        <v>0.2</v>
      </c>
      <c r="AQ110" s="1951">
        <v>0.2</v>
      </c>
      <c r="AR110" s="1942">
        <v>0.2</v>
      </c>
      <c r="AS110" s="1947">
        <v>0.2</v>
      </c>
      <c r="AT110" s="1948"/>
      <c r="AU110" s="1947"/>
      <c r="AV110" s="1947"/>
      <c r="AX110" s="1940" t="s">
        <v>1153</v>
      </c>
      <c r="AY110" s="1944" t="s">
        <v>119</v>
      </c>
      <c r="AZ110" s="1945" t="s">
        <v>124</v>
      </c>
      <c r="BA110" s="1947">
        <v>0.2</v>
      </c>
      <c r="BB110" s="1947">
        <v>0.2</v>
      </c>
      <c r="BC110" s="1947">
        <v>0.2</v>
      </c>
      <c r="BD110" s="1947">
        <v>0.2</v>
      </c>
      <c r="BE110" s="1947">
        <v>0.2</v>
      </c>
      <c r="BF110" s="1947">
        <v>0.2</v>
      </c>
      <c r="BG110" s="1947">
        <v>0.2</v>
      </c>
      <c r="BH110" s="1954">
        <v>0.2</v>
      </c>
      <c r="BI110" s="1947">
        <v>0.2</v>
      </c>
      <c r="BJ110" s="1947">
        <v>0.2</v>
      </c>
      <c r="BK110" s="1948"/>
      <c r="BL110" s="1947"/>
      <c r="BM110" s="1947"/>
      <c r="BO110" s="1940" t="s">
        <v>3705</v>
      </c>
      <c r="BP110" s="1944" t="s">
        <v>119</v>
      </c>
      <c r="BQ110" s="1945" t="s">
        <v>124</v>
      </c>
      <c r="BR110" s="1947">
        <v>0.2</v>
      </c>
      <c r="BS110" s="1947">
        <v>0.2</v>
      </c>
      <c r="BT110" s="1947">
        <v>0.2</v>
      </c>
      <c r="BU110" s="1947">
        <v>0.2</v>
      </c>
      <c r="BV110" s="1947">
        <v>0.2</v>
      </c>
      <c r="BW110" s="1947">
        <v>0.2</v>
      </c>
      <c r="BX110" s="1947">
        <v>0.2</v>
      </c>
      <c r="BY110" s="1954">
        <v>0.2</v>
      </c>
      <c r="BZ110" s="1947">
        <v>0.2</v>
      </c>
      <c r="CA110" s="1947">
        <v>0.2</v>
      </c>
      <c r="CB110" s="1948"/>
      <c r="CC110" s="1947"/>
      <c r="CD110" s="1947"/>
      <c r="CE110" s="2302"/>
      <c r="CG110" s="1940" t="s">
        <v>3547</v>
      </c>
      <c r="CH110" s="1944" t="s">
        <v>119</v>
      </c>
      <c r="CI110" s="1945" t="s">
        <v>124</v>
      </c>
      <c r="CJ110" s="2943">
        <v>0</v>
      </c>
      <c r="CK110" s="2943">
        <v>0</v>
      </c>
      <c r="CL110" s="2943">
        <v>0</v>
      </c>
      <c r="CM110" s="2943">
        <v>0</v>
      </c>
      <c r="CN110" s="2943">
        <v>0</v>
      </c>
      <c r="CO110" s="2943">
        <v>0</v>
      </c>
      <c r="CP110" s="2943">
        <v>0</v>
      </c>
      <c r="CQ110" s="2943">
        <v>0</v>
      </c>
      <c r="CR110" s="2943">
        <v>0</v>
      </c>
      <c r="CS110" s="2943">
        <v>0</v>
      </c>
      <c r="CT110" s="2943">
        <v>0</v>
      </c>
      <c r="CU110" s="2943">
        <v>0</v>
      </c>
      <c r="CV110" s="2943">
        <v>0</v>
      </c>
      <c r="CW110" s="2445"/>
      <c r="CX110" s="1940" t="s">
        <v>3547</v>
      </c>
      <c r="CY110" s="1944" t="s">
        <v>119</v>
      </c>
      <c r="CZ110" s="1945" t="s">
        <v>124</v>
      </c>
      <c r="DA110" s="2945">
        <f t="shared" si="41"/>
        <v>0.2</v>
      </c>
      <c r="DB110" s="2945"/>
      <c r="DC110" s="2945"/>
      <c r="DD110" s="2945"/>
      <c r="DE110" s="2945"/>
      <c r="DF110" s="2945"/>
      <c r="DG110" s="2945"/>
      <c r="DH110" s="2945"/>
      <c r="DI110" s="2945"/>
      <c r="DJ110" s="2945"/>
      <c r="DK110" s="2945"/>
      <c r="DL110" s="2945"/>
      <c r="DM110" s="2945"/>
    </row>
    <row r="111" spans="1:117">
      <c r="B111" s="1914" t="str">
        <f t="shared" si="53"/>
        <v>3.3.6</v>
      </c>
      <c r="C111" s="1937" t="str">
        <f t="shared" si="49"/>
        <v>バックアップスペースの確保</v>
      </c>
      <c r="D111" s="1927">
        <f t="shared" si="48"/>
        <v>0.2</v>
      </c>
      <c r="E111" s="1939">
        <f t="shared" si="48"/>
        <v>0</v>
      </c>
      <c r="G111" s="1939">
        <f t="shared" si="50"/>
        <v>0.2</v>
      </c>
      <c r="H111" s="1939">
        <f t="shared" si="51"/>
        <v>0</v>
      </c>
      <c r="I111" s="1939"/>
      <c r="J111" s="1939"/>
      <c r="K111" s="1939">
        <f>IF(スコア!Q111=0,0,1)</f>
        <v>1</v>
      </c>
      <c r="L111" s="1939">
        <f>IF(スコア!T111=0,0,1)</f>
        <v>0</v>
      </c>
      <c r="M111" s="1939">
        <f t="shared" si="52"/>
        <v>0.2</v>
      </c>
      <c r="N111" s="1939">
        <f t="shared" si="47"/>
        <v>0</v>
      </c>
      <c r="P111" s="1940" t="str">
        <f t="shared" ref="P111:U153" si="56">IF($P$3=1,AX111,IF($P$3=2,BO111,IF($P$3=3,CG111,IF($P$3=4,CX111,AG111))))</f>
        <v>3.3.6</v>
      </c>
      <c r="Q111" s="1940" t="str">
        <f t="shared" si="56"/>
        <v xml:space="preserve"> Q2 3.3</v>
      </c>
      <c r="R111" s="1941" t="str">
        <f t="shared" si="56"/>
        <v>バックアップスペースの確保</v>
      </c>
      <c r="S111" s="1942">
        <f t="shared" si="56"/>
        <v>0.2</v>
      </c>
      <c r="T111" s="1942">
        <f t="shared" si="56"/>
        <v>0.2</v>
      </c>
      <c r="U111" s="1942">
        <f t="shared" si="56"/>
        <v>0.2</v>
      </c>
      <c r="V111" s="1942">
        <f t="shared" si="54"/>
        <v>0.2</v>
      </c>
      <c r="W111" s="1942">
        <f t="shared" si="54"/>
        <v>0.2</v>
      </c>
      <c r="X111" s="1942">
        <f t="shared" si="54"/>
        <v>0.2</v>
      </c>
      <c r="Y111" s="1942">
        <f t="shared" si="54"/>
        <v>0.2</v>
      </c>
      <c r="Z111" s="1951">
        <f t="shared" si="55"/>
        <v>0.2</v>
      </c>
      <c r="AA111" s="1942">
        <f t="shared" si="55"/>
        <v>0.2</v>
      </c>
      <c r="AB111" s="1942">
        <f t="shared" si="55"/>
        <v>0.2</v>
      </c>
      <c r="AC111" s="1943">
        <f t="shared" si="55"/>
        <v>0</v>
      </c>
      <c r="AD111" s="1942">
        <f t="shared" si="55"/>
        <v>0</v>
      </c>
      <c r="AE111" s="1942">
        <f t="shared" si="55"/>
        <v>0</v>
      </c>
      <c r="AG111" s="1940" t="s">
        <v>1154</v>
      </c>
      <c r="AH111" s="1944" t="s">
        <v>119</v>
      </c>
      <c r="AI111" s="1945" t="s">
        <v>1028</v>
      </c>
      <c r="AJ111" s="1942">
        <v>0.2</v>
      </c>
      <c r="AK111" s="1942">
        <v>0.2</v>
      </c>
      <c r="AL111" s="1942">
        <v>0.2</v>
      </c>
      <c r="AM111" s="1942">
        <v>0.2</v>
      </c>
      <c r="AN111" s="1942">
        <v>0.2</v>
      </c>
      <c r="AO111" s="1942">
        <v>0.2</v>
      </c>
      <c r="AP111" s="1942">
        <v>0.2</v>
      </c>
      <c r="AQ111" s="1951">
        <v>0.2</v>
      </c>
      <c r="AR111" s="1942">
        <v>0.2</v>
      </c>
      <c r="AS111" s="1947">
        <v>0.2</v>
      </c>
      <c r="AT111" s="1948"/>
      <c r="AU111" s="1947"/>
      <c r="AV111" s="1947"/>
      <c r="AX111" s="1940" t="s">
        <v>1154</v>
      </c>
      <c r="AY111" s="1944" t="s">
        <v>119</v>
      </c>
      <c r="AZ111" s="1945" t="s">
        <v>1678</v>
      </c>
      <c r="BA111" s="1947">
        <v>0.2</v>
      </c>
      <c r="BB111" s="1947">
        <v>0.2</v>
      </c>
      <c r="BC111" s="1947">
        <v>0.2</v>
      </c>
      <c r="BD111" s="1947">
        <v>0.2</v>
      </c>
      <c r="BE111" s="1947">
        <v>0.2</v>
      </c>
      <c r="BF111" s="1947">
        <v>0.2</v>
      </c>
      <c r="BG111" s="1947">
        <v>0.2</v>
      </c>
      <c r="BH111" s="1954">
        <v>0.2</v>
      </c>
      <c r="BI111" s="1947">
        <v>0.2</v>
      </c>
      <c r="BJ111" s="1947">
        <v>0.2</v>
      </c>
      <c r="BK111" s="1948"/>
      <c r="BL111" s="1947"/>
      <c r="BM111" s="1947"/>
      <c r="BO111" s="1940" t="s">
        <v>3706</v>
      </c>
      <c r="BP111" s="1944" t="s">
        <v>119</v>
      </c>
      <c r="BQ111" s="1945" t="s">
        <v>3749</v>
      </c>
      <c r="BR111" s="1947">
        <v>0.2</v>
      </c>
      <c r="BS111" s="1947">
        <v>0.2</v>
      </c>
      <c r="BT111" s="1947">
        <v>0.2</v>
      </c>
      <c r="BU111" s="1947">
        <v>0.2</v>
      </c>
      <c r="BV111" s="1947">
        <v>0.2</v>
      </c>
      <c r="BW111" s="1947">
        <v>0.2</v>
      </c>
      <c r="BX111" s="1947">
        <v>0.2</v>
      </c>
      <c r="BY111" s="1954">
        <v>0.2</v>
      </c>
      <c r="BZ111" s="1947">
        <v>0.2</v>
      </c>
      <c r="CA111" s="1947">
        <v>0.2</v>
      </c>
      <c r="CB111" s="1948"/>
      <c r="CC111" s="1947"/>
      <c r="CD111" s="1947"/>
      <c r="CE111" s="2302"/>
      <c r="CG111" s="1940" t="s">
        <v>3548</v>
      </c>
      <c r="CH111" s="1944" t="s">
        <v>119</v>
      </c>
      <c r="CI111" s="1945" t="s">
        <v>1028</v>
      </c>
      <c r="CJ111" s="2943">
        <v>0</v>
      </c>
      <c r="CK111" s="2943">
        <v>0</v>
      </c>
      <c r="CL111" s="2943">
        <v>0</v>
      </c>
      <c r="CM111" s="2943">
        <v>0</v>
      </c>
      <c r="CN111" s="2943">
        <v>0</v>
      </c>
      <c r="CO111" s="2943">
        <v>0</v>
      </c>
      <c r="CP111" s="2943">
        <v>0</v>
      </c>
      <c r="CQ111" s="2943">
        <v>0</v>
      </c>
      <c r="CR111" s="2943">
        <v>0</v>
      </c>
      <c r="CS111" s="2943">
        <v>0</v>
      </c>
      <c r="CT111" s="2943">
        <v>0</v>
      </c>
      <c r="CU111" s="2943">
        <v>0</v>
      </c>
      <c r="CV111" s="2943">
        <v>0</v>
      </c>
      <c r="CW111" s="2445"/>
      <c r="CX111" s="1940" t="s">
        <v>3548</v>
      </c>
      <c r="CY111" s="1944" t="s">
        <v>119</v>
      </c>
      <c r="CZ111" s="1945" t="s">
        <v>1028</v>
      </c>
      <c r="DA111" s="2945">
        <f t="shared" si="41"/>
        <v>0.2</v>
      </c>
      <c r="DB111" s="2945"/>
      <c r="DC111" s="2945"/>
      <c r="DD111" s="2945"/>
      <c r="DE111" s="2945"/>
      <c r="DF111" s="2945"/>
      <c r="DG111" s="2945"/>
      <c r="DH111" s="2945"/>
      <c r="DI111" s="2945"/>
      <c r="DJ111" s="2945"/>
      <c r="DK111" s="2945"/>
      <c r="DL111" s="2945"/>
      <c r="DM111" s="2945"/>
    </row>
    <row r="112" spans="1:117" s="1328" customFormat="1">
      <c r="A112"/>
      <c r="B112" s="1914" t="str">
        <f t="shared" si="53"/>
        <v>Q3</v>
      </c>
      <c r="C112" s="1918" t="str">
        <f t="shared" si="49"/>
        <v>室外環境（敷地内）</v>
      </c>
      <c r="D112" s="1916">
        <f>IF(I$8=0,0,G112/I$8)</f>
        <v>0.3</v>
      </c>
      <c r="E112" s="1917">
        <f>IF(J$8=0,0,H112/J$8)</f>
        <v>0</v>
      </c>
      <c r="F112"/>
      <c r="G112" s="1917">
        <f t="shared" si="50"/>
        <v>0.3</v>
      </c>
      <c r="H112" s="1917">
        <f t="shared" si="51"/>
        <v>0</v>
      </c>
      <c r="I112" s="1917">
        <f>G113+G116+G117+G114</f>
        <v>1</v>
      </c>
      <c r="J112" s="1917">
        <f>H113+H116+H117+H114</f>
        <v>0</v>
      </c>
      <c r="K112" s="1917">
        <f>IF(スコア!V112=0,0,1)</f>
        <v>1</v>
      </c>
      <c r="L112" s="1917">
        <f>IF(スコア!T112=0,0,1)</f>
        <v>0</v>
      </c>
      <c r="M112" s="1917">
        <f t="shared" si="52"/>
        <v>0.3</v>
      </c>
      <c r="N112" s="1917">
        <f t="shared" si="47"/>
        <v>0</v>
      </c>
      <c r="O112"/>
      <c r="P112" s="1914" t="str">
        <f t="shared" si="56"/>
        <v>Q3</v>
      </c>
      <c r="Q112" s="1914" t="str">
        <f t="shared" si="56"/>
        <v xml:space="preserve"> Q</v>
      </c>
      <c r="R112" s="1918" t="str">
        <f t="shared" si="56"/>
        <v>室外環境（敷地内）</v>
      </c>
      <c r="S112" s="1919">
        <f t="shared" si="56"/>
        <v>0.3</v>
      </c>
      <c r="T112" s="1919">
        <f t="shared" si="56"/>
        <v>0.3</v>
      </c>
      <c r="U112" s="1919">
        <f t="shared" si="56"/>
        <v>0.3</v>
      </c>
      <c r="V112" s="1919">
        <f t="shared" si="54"/>
        <v>0.3</v>
      </c>
      <c r="W112" s="1919">
        <f t="shared" si="54"/>
        <v>0.3</v>
      </c>
      <c r="X112" s="1919">
        <f t="shared" si="54"/>
        <v>0.3</v>
      </c>
      <c r="Y112" s="1919">
        <f t="shared" si="54"/>
        <v>0.3</v>
      </c>
      <c r="Z112" s="1919">
        <f t="shared" si="55"/>
        <v>0.3</v>
      </c>
      <c r="AA112" s="1919">
        <f t="shared" si="55"/>
        <v>0.4</v>
      </c>
      <c r="AB112" s="1919">
        <f t="shared" si="55"/>
        <v>0.3</v>
      </c>
      <c r="AC112" s="1920">
        <f t="shared" si="55"/>
        <v>0</v>
      </c>
      <c r="AD112" s="1919">
        <f t="shared" si="55"/>
        <v>0</v>
      </c>
      <c r="AE112" s="1919">
        <f t="shared" si="55"/>
        <v>0</v>
      </c>
      <c r="AF112"/>
      <c r="AG112" s="1914" t="s">
        <v>1155</v>
      </c>
      <c r="AH112" s="1921" t="s">
        <v>766</v>
      </c>
      <c r="AI112" s="1918" t="s">
        <v>1156</v>
      </c>
      <c r="AJ112" s="1919">
        <v>0.3</v>
      </c>
      <c r="AK112" s="1919">
        <v>0.3</v>
      </c>
      <c r="AL112" s="1919">
        <v>0.3</v>
      </c>
      <c r="AM112" s="1919">
        <v>0.3</v>
      </c>
      <c r="AN112" s="1919">
        <v>0.3</v>
      </c>
      <c r="AO112" s="1919">
        <v>0.3</v>
      </c>
      <c r="AP112" s="1919">
        <v>0.3</v>
      </c>
      <c r="AQ112" s="1919">
        <v>0.3</v>
      </c>
      <c r="AR112" s="1919">
        <v>0.4</v>
      </c>
      <c r="AS112" s="1922">
        <v>0.3</v>
      </c>
      <c r="AT112" s="1923">
        <v>0</v>
      </c>
      <c r="AU112" s="1922">
        <v>0</v>
      </c>
      <c r="AV112" s="1922">
        <v>0</v>
      </c>
      <c r="AW112"/>
      <c r="AX112" s="1914" t="s">
        <v>1155</v>
      </c>
      <c r="AY112" s="1921" t="s">
        <v>766</v>
      </c>
      <c r="AZ112" s="1918" t="s">
        <v>1156</v>
      </c>
      <c r="BA112" s="1922">
        <v>0.3</v>
      </c>
      <c r="BB112" s="1922">
        <v>0.3</v>
      </c>
      <c r="BC112" s="1922">
        <v>0.3</v>
      </c>
      <c r="BD112" s="1922">
        <v>0.3</v>
      </c>
      <c r="BE112" s="1922">
        <v>0.3</v>
      </c>
      <c r="BF112" s="1922">
        <v>0.3</v>
      </c>
      <c r="BG112" s="1922">
        <v>0.3</v>
      </c>
      <c r="BH112" s="1922">
        <v>0.3</v>
      </c>
      <c r="BI112" s="1922">
        <v>0.4</v>
      </c>
      <c r="BJ112" s="1922">
        <v>0.3</v>
      </c>
      <c r="BK112" s="1923"/>
      <c r="BL112" s="1922"/>
      <c r="BM112" s="1922"/>
      <c r="BN112"/>
      <c r="BO112" s="1914" t="s">
        <v>3707</v>
      </c>
      <c r="BP112" s="1921" t="s">
        <v>766</v>
      </c>
      <c r="BQ112" s="1918" t="s">
        <v>3654</v>
      </c>
      <c r="BR112" s="1922">
        <v>0.3</v>
      </c>
      <c r="BS112" s="1922">
        <v>0.3</v>
      </c>
      <c r="BT112" s="1922">
        <v>0.3</v>
      </c>
      <c r="BU112" s="1922">
        <v>0.3</v>
      </c>
      <c r="BV112" s="1922">
        <v>0.3</v>
      </c>
      <c r="BW112" s="1922">
        <v>0.3</v>
      </c>
      <c r="BX112" s="1922">
        <v>0.3</v>
      </c>
      <c r="BY112" s="1922">
        <v>0.3</v>
      </c>
      <c r="BZ112" s="1922">
        <v>0.4</v>
      </c>
      <c r="CA112" s="1922">
        <v>0.3</v>
      </c>
      <c r="CB112" s="1923"/>
      <c r="CC112" s="1922"/>
      <c r="CD112" s="1922"/>
      <c r="CE112" s="2300"/>
      <c r="CF112"/>
      <c r="CG112" s="1914" t="s">
        <v>3549</v>
      </c>
      <c r="CH112" s="1921" t="s">
        <v>766</v>
      </c>
      <c r="CI112" s="1918" t="s">
        <v>3550</v>
      </c>
      <c r="CJ112" s="2932">
        <v>0.35</v>
      </c>
      <c r="CK112" s="2932">
        <v>0.35</v>
      </c>
      <c r="CL112" s="2932">
        <v>0.35</v>
      </c>
      <c r="CM112" s="2932">
        <v>0.35</v>
      </c>
      <c r="CN112" s="2932">
        <v>0.35</v>
      </c>
      <c r="CO112" s="2932">
        <v>0.35</v>
      </c>
      <c r="CP112" s="2932">
        <v>0.35</v>
      </c>
      <c r="CQ112" s="2932">
        <v>0.35</v>
      </c>
      <c r="CR112" s="2932">
        <v>0.5</v>
      </c>
      <c r="CS112" s="2932">
        <v>0.35</v>
      </c>
      <c r="CT112" s="2936">
        <f t="shared" ref="CT112:CV177" si="57">CB112</f>
        <v>0</v>
      </c>
      <c r="CU112" s="2932">
        <f t="shared" si="57"/>
        <v>0</v>
      </c>
      <c r="CV112" s="2932">
        <f t="shared" si="57"/>
        <v>0</v>
      </c>
      <c r="CW112" s="2445"/>
      <c r="CX112" s="1914" t="s">
        <v>3549</v>
      </c>
      <c r="CY112" s="1921" t="s">
        <v>766</v>
      </c>
      <c r="CZ112" s="1918" t="s">
        <v>3550</v>
      </c>
      <c r="DA112" s="2935">
        <v>0.1</v>
      </c>
      <c r="DB112" s="2932"/>
      <c r="DC112" s="2932"/>
      <c r="DD112" s="2932"/>
      <c r="DE112" s="2932"/>
      <c r="DF112" s="2932"/>
      <c r="DG112" s="2932"/>
      <c r="DH112" s="2932"/>
      <c r="DI112" s="2932"/>
      <c r="DJ112" s="2932"/>
      <c r="DK112" s="2936"/>
      <c r="DL112" s="2932"/>
      <c r="DM112" s="2932"/>
    </row>
    <row r="113" spans="1:117" s="1328" customFormat="1">
      <c r="A113"/>
      <c r="B113" s="1914">
        <f t="shared" si="53"/>
        <v>1</v>
      </c>
      <c r="C113" s="1955" t="str">
        <f t="shared" si="49"/>
        <v>生物資源の保全と創出</v>
      </c>
      <c r="D113" s="1925">
        <f t="shared" ref="D113:E117" si="58">IF(I$112=0,0,G113/I$112)</f>
        <v>0.3</v>
      </c>
      <c r="E113" s="1926">
        <f t="shared" si="58"/>
        <v>0</v>
      </c>
      <c r="F113"/>
      <c r="G113" s="1926">
        <f t="shared" si="50"/>
        <v>0.3</v>
      </c>
      <c r="H113" s="1926">
        <f t="shared" si="51"/>
        <v>0</v>
      </c>
      <c r="I113" s="1926"/>
      <c r="J113" s="1926"/>
      <c r="K113" s="1926">
        <f>IF(スコア!Q113=0,0,1)</f>
        <v>1</v>
      </c>
      <c r="L113" s="1926">
        <f>IF(スコア!T113=0,0,1)</f>
        <v>0</v>
      </c>
      <c r="M113" s="1926">
        <f t="shared" si="52"/>
        <v>0.3</v>
      </c>
      <c r="N113" s="1926">
        <f t="shared" si="47"/>
        <v>0</v>
      </c>
      <c r="O113"/>
      <c r="P113" s="1928">
        <f t="shared" si="56"/>
        <v>1</v>
      </c>
      <c r="Q113" s="1928" t="str">
        <f t="shared" si="56"/>
        <v xml:space="preserve"> Q3</v>
      </c>
      <c r="R113" s="1929" t="str">
        <f t="shared" si="56"/>
        <v>生物資源の保全と創出</v>
      </c>
      <c r="S113" s="1930">
        <f t="shared" si="56"/>
        <v>0.3</v>
      </c>
      <c r="T113" s="1930">
        <f t="shared" si="56"/>
        <v>0.3</v>
      </c>
      <c r="U113" s="1930">
        <f t="shared" si="56"/>
        <v>0.3</v>
      </c>
      <c r="V113" s="1930">
        <f t="shared" si="54"/>
        <v>0.3</v>
      </c>
      <c r="W113" s="1930">
        <f t="shared" si="54"/>
        <v>0.3</v>
      </c>
      <c r="X113" s="1930">
        <f t="shared" si="54"/>
        <v>0.3</v>
      </c>
      <c r="Y113" s="1930">
        <f t="shared" si="54"/>
        <v>0.3</v>
      </c>
      <c r="Z113" s="1994">
        <f t="shared" si="55"/>
        <v>0.3</v>
      </c>
      <c r="AA113" s="1930">
        <f t="shared" si="55"/>
        <v>0.3</v>
      </c>
      <c r="AB113" s="1930">
        <f t="shared" si="55"/>
        <v>0.3</v>
      </c>
      <c r="AC113" s="1932">
        <f t="shared" si="55"/>
        <v>0</v>
      </c>
      <c r="AD113" s="1930">
        <f t="shared" si="55"/>
        <v>0</v>
      </c>
      <c r="AE113" s="1930">
        <f t="shared" si="55"/>
        <v>0</v>
      </c>
      <c r="AF113"/>
      <c r="AG113" s="1928">
        <v>1</v>
      </c>
      <c r="AH113" s="1933" t="s">
        <v>125</v>
      </c>
      <c r="AI113" s="1957" t="s">
        <v>126</v>
      </c>
      <c r="AJ113" s="1930">
        <v>0.3</v>
      </c>
      <c r="AK113" s="1930">
        <v>0.3</v>
      </c>
      <c r="AL113" s="1930">
        <v>0.3</v>
      </c>
      <c r="AM113" s="1930">
        <v>0.3</v>
      </c>
      <c r="AN113" s="1930">
        <v>0.3</v>
      </c>
      <c r="AO113" s="1930">
        <v>0.3</v>
      </c>
      <c r="AP113" s="1930">
        <v>0.3</v>
      </c>
      <c r="AQ113" s="1994">
        <v>0.3</v>
      </c>
      <c r="AR113" s="1930">
        <v>0.3</v>
      </c>
      <c r="AS113" s="1934">
        <v>0.3</v>
      </c>
      <c r="AT113" s="1935">
        <v>0</v>
      </c>
      <c r="AU113" s="1934">
        <v>0</v>
      </c>
      <c r="AV113" s="1934">
        <v>0</v>
      </c>
      <c r="AW113"/>
      <c r="AX113" s="1928">
        <v>1</v>
      </c>
      <c r="AY113" s="1933" t="s">
        <v>125</v>
      </c>
      <c r="AZ113" s="1957" t="s">
        <v>126</v>
      </c>
      <c r="BA113" s="1934">
        <v>0.3</v>
      </c>
      <c r="BB113" s="1934">
        <v>0.3</v>
      </c>
      <c r="BC113" s="1934">
        <v>0.3</v>
      </c>
      <c r="BD113" s="1934">
        <v>0.3</v>
      </c>
      <c r="BE113" s="1934">
        <v>0.3</v>
      </c>
      <c r="BF113" s="1934">
        <v>0.3</v>
      </c>
      <c r="BG113" s="1934">
        <v>0.3</v>
      </c>
      <c r="BH113" s="1995">
        <v>0.3</v>
      </c>
      <c r="BI113" s="1934">
        <v>0.3</v>
      </c>
      <c r="BJ113" s="1934">
        <v>0.3</v>
      </c>
      <c r="BK113" s="1935"/>
      <c r="BL113" s="1934"/>
      <c r="BM113" s="1934"/>
      <c r="BN113"/>
      <c r="BO113" s="1928">
        <v>1</v>
      </c>
      <c r="BP113" s="1933" t="s">
        <v>125</v>
      </c>
      <c r="BQ113" s="1957" t="s">
        <v>3750</v>
      </c>
      <c r="BR113" s="1934">
        <v>0.3</v>
      </c>
      <c r="BS113" s="1934">
        <v>0.3</v>
      </c>
      <c r="BT113" s="1934">
        <v>0.3</v>
      </c>
      <c r="BU113" s="1934">
        <v>0.3</v>
      </c>
      <c r="BV113" s="1934">
        <v>0.3</v>
      </c>
      <c r="BW113" s="1934">
        <v>0.3</v>
      </c>
      <c r="BX113" s="1934">
        <v>0.3</v>
      </c>
      <c r="BY113" s="1995">
        <v>0.3</v>
      </c>
      <c r="BZ113" s="1934">
        <v>0.3</v>
      </c>
      <c r="CA113" s="1934">
        <v>0.3</v>
      </c>
      <c r="CB113" s="1935"/>
      <c r="CC113" s="1934"/>
      <c r="CD113" s="1934"/>
      <c r="CE113" s="2301"/>
      <c r="CF113"/>
      <c r="CG113" s="1928">
        <v>1</v>
      </c>
      <c r="CH113" s="1933" t="s">
        <v>125</v>
      </c>
      <c r="CI113" s="1957" t="s">
        <v>126</v>
      </c>
      <c r="CJ113" s="2937">
        <f t="shared" ref="CJ113:CS141" si="59">BR113</f>
        <v>0.3</v>
      </c>
      <c r="CK113" s="2937">
        <f t="shared" si="59"/>
        <v>0.3</v>
      </c>
      <c r="CL113" s="2937">
        <f t="shared" si="59"/>
        <v>0.3</v>
      </c>
      <c r="CM113" s="2937">
        <f t="shared" si="59"/>
        <v>0.3</v>
      </c>
      <c r="CN113" s="2937">
        <f t="shared" si="59"/>
        <v>0.3</v>
      </c>
      <c r="CO113" s="2937">
        <f t="shared" si="59"/>
        <v>0.3</v>
      </c>
      <c r="CP113" s="2937">
        <f t="shared" si="59"/>
        <v>0.3</v>
      </c>
      <c r="CQ113" s="2975">
        <f t="shared" si="59"/>
        <v>0.3</v>
      </c>
      <c r="CR113" s="2937">
        <f t="shared" si="59"/>
        <v>0.3</v>
      </c>
      <c r="CS113" s="2937">
        <f t="shared" si="59"/>
        <v>0.3</v>
      </c>
      <c r="CT113" s="2939">
        <f t="shared" si="57"/>
        <v>0</v>
      </c>
      <c r="CU113" s="2937">
        <f t="shared" si="57"/>
        <v>0</v>
      </c>
      <c r="CV113" s="2937">
        <f t="shared" si="57"/>
        <v>0</v>
      </c>
      <c r="CW113" s="2445"/>
      <c r="CX113" s="1928">
        <v>1</v>
      </c>
      <c r="CY113" s="1933" t="s">
        <v>125</v>
      </c>
      <c r="CZ113" s="1957" t="s">
        <v>126</v>
      </c>
      <c r="DA113" s="2974">
        <v>0</v>
      </c>
      <c r="DB113" s="2940"/>
      <c r="DC113" s="2940"/>
      <c r="DD113" s="2940"/>
      <c r="DE113" s="2940"/>
      <c r="DF113" s="2940"/>
      <c r="DG113" s="2940"/>
      <c r="DH113" s="2976"/>
      <c r="DI113" s="2940"/>
      <c r="DJ113" s="2940"/>
      <c r="DK113" s="2942"/>
      <c r="DL113" s="2940"/>
      <c r="DM113" s="2940"/>
    </row>
    <row r="114" spans="1:117" s="1328" customFormat="1" hidden="1">
      <c r="A114" s="2445"/>
      <c r="B114" s="1914">
        <v>1</v>
      </c>
      <c r="C114" s="1955">
        <f t="shared" si="49"/>
        <v>0</v>
      </c>
      <c r="D114" s="1925">
        <f>IF(I$112=0,0,G114/I$112)</f>
        <v>0</v>
      </c>
      <c r="E114" s="1926">
        <f t="shared" si="58"/>
        <v>0</v>
      </c>
      <c r="F114" s="2445"/>
      <c r="G114" s="1926">
        <f t="shared" si="50"/>
        <v>0</v>
      </c>
      <c r="H114" s="1926">
        <f t="shared" si="51"/>
        <v>0</v>
      </c>
      <c r="I114" s="1926">
        <f>SUM(G115)</f>
        <v>0</v>
      </c>
      <c r="J114" s="1926">
        <f>SUM(H115)</f>
        <v>0</v>
      </c>
      <c r="K114" s="1926"/>
      <c r="L114" s="1926"/>
      <c r="M114" s="1926">
        <f t="shared" si="52"/>
        <v>0</v>
      </c>
      <c r="N114" s="1926">
        <f>(AC$7*AC114)+(AD$7*AD114)+(AE$7*AE114)</f>
        <v>0</v>
      </c>
      <c r="O114" s="2445"/>
      <c r="P114" s="1928">
        <f t="shared" si="56"/>
        <v>0</v>
      </c>
      <c r="Q114" s="1928">
        <f t="shared" si="56"/>
        <v>0</v>
      </c>
      <c r="R114" s="1929">
        <f t="shared" si="56"/>
        <v>0</v>
      </c>
      <c r="S114" s="1930">
        <f t="shared" si="56"/>
        <v>0</v>
      </c>
      <c r="T114" s="1930">
        <f t="shared" si="56"/>
        <v>0</v>
      </c>
      <c r="U114" s="1930">
        <f t="shared" si="56"/>
        <v>0</v>
      </c>
      <c r="V114" s="1930">
        <f t="shared" si="54"/>
        <v>0</v>
      </c>
      <c r="W114" s="1930">
        <f t="shared" si="54"/>
        <v>0</v>
      </c>
      <c r="X114" s="1930">
        <f t="shared" si="54"/>
        <v>0</v>
      </c>
      <c r="Y114" s="1930">
        <f t="shared" si="54"/>
        <v>0</v>
      </c>
      <c r="Z114" s="1994">
        <f t="shared" si="55"/>
        <v>0</v>
      </c>
      <c r="AA114" s="1930">
        <f t="shared" si="55"/>
        <v>0</v>
      </c>
      <c r="AB114" s="1930">
        <f t="shared" si="55"/>
        <v>0</v>
      </c>
      <c r="AC114" s="1932">
        <f t="shared" si="55"/>
        <v>0</v>
      </c>
      <c r="AD114" s="1930">
        <f t="shared" si="55"/>
        <v>0</v>
      </c>
      <c r="AE114" s="1930">
        <f t="shared" si="55"/>
        <v>0</v>
      </c>
      <c r="AF114" s="2445"/>
      <c r="AG114" s="1928"/>
      <c r="AH114" s="1933"/>
      <c r="AI114" s="1957"/>
      <c r="AJ114" s="1930"/>
      <c r="AK114" s="1930"/>
      <c r="AL114" s="1930"/>
      <c r="AM114" s="1930"/>
      <c r="AN114" s="1930"/>
      <c r="AO114" s="1930"/>
      <c r="AP114" s="1930"/>
      <c r="AQ114" s="1994"/>
      <c r="AR114" s="1930"/>
      <c r="AS114" s="1934"/>
      <c r="AT114" s="1935"/>
      <c r="AU114" s="1934"/>
      <c r="AV114" s="1934"/>
      <c r="AW114" s="2445"/>
      <c r="AX114" s="1928"/>
      <c r="AY114" s="1933"/>
      <c r="AZ114" s="1957"/>
      <c r="BA114" s="1934"/>
      <c r="BB114" s="1934"/>
      <c r="BC114" s="1934"/>
      <c r="BD114" s="1934"/>
      <c r="BE114" s="1934"/>
      <c r="BF114" s="1934"/>
      <c r="BG114" s="1934"/>
      <c r="BH114" s="1995"/>
      <c r="BI114" s="1934"/>
      <c r="BJ114" s="1934"/>
      <c r="BK114" s="1935"/>
      <c r="BL114" s="1934"/>
      <c r="BM114" s="1934"/>
      <c r="BN114" s="2445"/>
      <c r="BO114" s="1928"/>
      <c r="BP114" s="1933"/>
      <c r="BQ114" s="1957"/>
      <c r="BR114" s="1934"/>
      <c r="BS114" s="1934"/>
      <c r="BT114" s="1934"/>
      <c r="BU114" s="1934"/>
      <c r="BV114" s="1934"/>
      <c r="BW114" s="1934"/>
      <c r="BX114" s="1934"/>
      <c r="BY114" s="1995"/>
      <c r="BZ114" s="1934"/>
      <c r="CA114" s="1934"/>
      <c r="CB114" s="1935"/>
      <c r="CC114" s="1934"/>
      <c r="CD114" s="1934"/>
      <c r="CE114" s="2301"/>
      <c r="CF114" s="2445"/>
      <c r="CG114" s="1928"/>
      <c r="CH114" s="1933"/>
      <c r="CI114" s="1957"/>
      <c r="CJ114" s="2937"/>
      <c r="CK114" s="2937"/>
      <c r="CL114" s="2937"/>
      <c r="CM114" s="2937"/>
      <c r="CN114" s="2937"/>
      <c r="CO114" s="2937"/>
      <c r="CP114" s="2937"/>
      <c r="CQ114" s="2975"/>
      <c r="CR114" s="2937"/>
      <c r="CS114" s="2937"/>
      <c r="CT114" s="2939"/>
      <c r="CU114" s="2937"/>
      <c r="CV114" s="2937"/>
      <c r="CW114" s="2445"/>
      <c r="CX114" s="1928">
        <v>1</v>
      </c>
      <c r="CY114" s="1933" t="s">
        <v>125</v>
      </c>
      <c r="CZ114" s="2977" t="s">
        <v>3551</v>
      </c>
      <c r="DA114" s="2974">
        <v>1</v>
      </c>
      <c r="DB114" s="2940"/>
      <c r="DC114" s="2940"/>
      <c r="DD114" s="2940"/>
      <c r="DE114" s="2940"/>
      <c r="DF114" s="2940"/>
      <c r="DG114" s="2940"/>
      <c r="DH114" s="2976"/>
      <c r="DI114" s="2940"/>
      <c r="DJ114" s="2940"/>
      <c r="DK114" s="2942"/>
      <c r="DL114" s="2940"/>
      <c r="DM114" s="2940"/>
    </row>
    <row r="115" spans="1:117" s="1328" customFormat="1" hidden="1">
      <c r="A115" s="2445"/>
      <c r="B115" s="1914">
        <v>1.1000000000000001</v>
      </c>
      <c r="C115" s="1955">
        <f t="shared" si="49"/>
        <v>0</v>
      </c>
      <c r="D115" s="1925">
        <f>IF(I$114=0,0,G115/I$114)</f>
        <v>0</v>
      </c>
      <c r="E115" s="1926">
        <f>IF(J$114=0,0,H115/J$114)</f>
        <v>0</v>
      </c>
      <c r="F115" s="2445"/>
      <c r="G115" s="1926">
        <f>K115*M115</f>
        <v>0</v>
      </c>
      <c r="H115" s="1926">
        <f>L115*N115</f>
        <v>0</v>
      </c>
      <c r="I115" s="1926"/>
      <c r="J115" s="1926"/>
      <c r="K115" s="1926"/>
      <c r="L115" s="1926"/>
      <c r="M115" s="1926">
        <f>SUMPRODUCT($S$7:$AB$7,S115:AB115)</f>
        <v>0</v>
      </c>
      <c r="N115" s="1926">
        <f t="shared" ref="N115" si="60">(AC$7*AC115)+(AD$7*AD115)+(AE$7*AE115)</f>
        <v>0</v>
      </c>
      <c r="O115" s="2445"/>
      <c r="P115" s="1928">
        <f t="shared" si="56"/>
        <v>0</v>
      </c>
      <c r="Q115" s="1928">
        <f t="shared" si="56"/>
        <v>0</v>
      </c>
      <c r="R115" s="1929">
        <f t="shared" si="56"/>
        <v>0</v>
      </c>
      <c r="S115" s="1930">
        <f t="shared" si="56"/>
        <v>0</v>
      </c>
      <c r="T115" s="1930">
        <f t="shared" si="56"/>
        <v>0</v>
      </c>
      <c r="U115" s="1930">
        <f t="shared" si="56"/>
        <v>0</v>
      </c>
      <c r="V115" s="1930">
        <f t="shared" si="54"/>
        <v>0</v>
      </c>
      <c r="W115" s="1930">
        <f t="shared" si="54"/>
        <v>0</v>
      </c>
      <c r="X115" s="1930">
        <f t="shared" si="54"/>
        <v>0</v>
      </c>
      <c r="Y115" s="1930">
        <f t="shared" si="54"/>
        <v>0</v>
      </c>
      <c r="Z115" s="1994">
        <f t="shared" si="55"/>
        <v>0</v>
      </c>
      <c r="AA115" s="1930">
        <f t="shared" si="55"/>
        <v>0</v>
      </c>
      <c r="AB115" s="1930">
        <f t="shared" si="55"/>
        <v>0</v>
      </c>
      <c r="AC115" s="1932">
        <f t="shared" si="55"/>
        <v>0</v>
      </c>
      <c r="AD115" s="1930">
        <f t="shared" si="55"/>
        <v>0</v>
      </c>
      <c r="AE115" s="1930">
        <f t="shared" si="55"/>
        <v>0</v>
      </c>
      <c r="AF115" s="2445"/>
      <c r="AG115" s="1928"/>
      <c r="AH115" s="1933"/>
      <c r="AI115" s="1957"/>
      <c r="AJ115" s="1930"/>
      <c r="AK115" s="1930"/>
      <c r="AL115" s="1930"/>
      <c r="AM115" s="1930"/>
      <c r="AN115" s="1930"/>
      <c r="AO115" s="1930"/>
      <c r="AP115" s="1930"/>
      <c r="AQ115" s="1994"/>
      <c r="AR115" s="1930"/>
      <c r="AS115" s="1934"/>
      <c r="AT115" s="1935"/>
      <c r="AU115" s="1934"/>
      <c r="AV115" s="1934"/>
      <c r="AW115" s="2445"/>
      <c r="AX115" s="1928"/>
      <c r="AY115" s="1933"/>
      <c r="AZ115" s="1957"/>
      <c r="BA115" s="1934"/>
      <c r="BB115" s="1934"/>
      <c r="BC115" s="1934"/>
      <c r="BD115" s="1934"/>
      <c r="BE115" s="1934"/>
      <c r="BF115" s="1934"/>
      <c r="BG115" s="1934"/>
      <c r="BH115" s="1995"/>
      <c r="BI115" s="1934"/>
      <c r="BJ115" s="1934"/>
      <c r="BK115" s="1935"/>
      <c r="BL115" s="1934"/>
      <c r="BM115" s="1934"/>
      <c r="BN115" s="2445"/>
      <c r="BO115" s="1928"/>
      <c r="BP115" s="1933"/>
      <c r="BQ115" s="1957"/>
      <c r="BR115" s="1934"/>
      <c r="BS115" s="1934"/>
      <c r="BT115" s="1934"/>
      <c r="BU115" s="1934"/>
      <c r="BV115" s="1934"/>
      <c r="BW115" s="1934"/>
      <c r="BX115" s="1934"/>
      <c r="BY115" s="1995"/>
      <c r="BZ115" s="1934"/>
      <c r="CA115" s="1934"/>
      <c r="CB115" s="1935"/>
      <c r="CC115" s="1934"/>
      <c r="CD115" s="1934"/>
      <c r="CE115" s="2301"/>
      <c r="CF115" s="2445"/>
      <c r="CG115" s="1928"/>
      <c r="CH115" s="1933"/>
      <c r="CI115" s="1957"/>
      <c r="CJ115" s="2937"/>
      <c r="CK115" s="2937"/>
      <c r="CL115" s="2937"/>
      <c r="CM115" s="2937"/>
      <c r="CN115" s="2937"/>
      <c r="CO115" s="2937"/>
      <c r="CP115" s="2937"/>
      <c r="CQ115" s="2975"/>
      <c r="CR115" s="2937"/>
      <c r="CS115" s="2937"/>
      <c r="CT115" s="2939"/>
      <c r="CU115" s="2937"/>
      <c r="CV115" s="2937"/>
      <c r="CW115" s="2445"/>
      <c r="CX115" s="1940" t="s">
        <v>3552</v>
      </c>
      <c r="CY115" s="1944" t="s">
        <v>127</v>
      </c>
      <c r="CZ115" s="2978" t="s">
        <v>3527</v>
      </c>
      <c r="DA115" s="2974">
        <v>1</v>
      </c>
      <c r="DB115" s="2940"/>
      <c r="DC115" s="2940"/>
      <c r="DD115" s="2940"/>
      <c r="DE115" s="2940"/>
      <c r="DF115" s="2940"/>
      <c r="DG115" s="2940"/>
      <c r="DH115" s="2976"/>
      <c r="DI115" s="2940"/>
      <c r="DJ115" s="2940"/>
      <c r="DK115" s="2942"/>
      <c r="DL115" s="2940"/>
      <c r="DM115" s="2940"/>
    </row>
    <row r="116" spans="1:117" s="1328" customFormat="1">
      <c r="A116"/>
      <c r="B116" s="1914">
        <f t="shared" si="53"/>
        <v>2</v>
      </c>
      <c r="C116" s="1955" t="str">
        <f t="shared" si="49"/>
        <v>まちなみ・景観への配慮</v>
      </c>
      <c r="D116" s="1925">
        <f t="shared" si="58"/>
        <v>0.4</v>
      </c>
      <c r="E116" s="1926">
        <f t="shared" si="58"/>
        <v>0</v>
      </c>
      <c r="F116"/>
      <c r="G116" s="1926">
        <f t="shared" si="50"/>
        <v>0.4</v>
      </c>
      <c r="H116" s="1926">
        <f t="shared" si="51"/>
        <v>0</v>
      </c>
      <c r="I116" s="1926"/>
      <c r="J116" s="1926"/>
      <c r="K116" s="1926">
        <f>IF(スコア!Q116=0,0,1)</f>
        <v>1</v>
      </c>
      <c r="L116" s="1926">
        <f>IF(スコア!T116=0,0,1)</f>
        <v>0</v>
      </c>
      <c r="M116" s="1926">
        <f t="shared" si="52"/>
        <v>0.4</v>
      </c>
      <c r="N116" s="1926">
        <f t="shared" si="47"/>
        <v>0</v>
      </c>
      <c r="O116"/>
      <c r="P116" s="1928">
        <f t="shared" si="56"/>
        <v>2</v>
      </c>
      <c r="Q116" s="1928" t="str">
        <f t="shared" si="56"/>
        <v xml:space="preserve"> Q3</v>
      </c>
      <c r="R116" s="1929" t="str">
        <f t="shared" si="56"/>
        <v>まちなみ・景観への配慮</v>
      </c>
      <c r="S116" s="1930">
        <f t="shared" si="56"/>
        <v>0.4</v>
      </c>
      <c r="T116" s="1930">
        <f t="shared" si="56"/>
        <v>0.4</v>
      </c>
      <c r="U116" s="1930">
        <f t="shared" si="56"/>
        <v>0.4</v>
      </c>
      <c r="V116" s="1930">
        <f t="shared" si="54"/>
        <v>0.4</v>
      </c>
      <c r="W116" s="1930">
        <f t="shared" si="54"/>
        <v>0.4</v>
      </c>
      <c r="X116" s="1930">
        <f t="shared" si="54"/>
        <v>0.4</v>
      </c>
      <c r="Y116" s="1930">
        <f t="shared" si="54"/>
        <v>0.4</v>
      </c>
      <c r="Z116" s="1994">
        <f t="shared" si="55"/>
        <v>0.4</v>
      </c>
      <c r="AA116" s="1930">
        <f t="shared" si="55"/>
        <v>0.4</v>
      </c>
      <c r="AB116" s="1930">
        <f t="shared" si="55"/>
        <v>0.4</v>
      </c>
      <c r="AC116" s="1932">
        <f t="shared" si="55"/>
        <v>0</v>
      </c>
      <c r="AD116" s="1930">
        <f t="shared" si="55"/>
        <v>0</v>
      </c>
      <c r="AE116" s="1930">
        <f t="shared" si="55"/>
        <v>0</v>
      </c>
      <c r="AF116"/>
      <c r="AG116" s="1928">
        <v>2</v>
      </c>
      <c r="AH116" s="1933" t="s">
        <v>125</v>
      </c>
      <c r="AI116" s="1957" t="s">
        <v>1157</v>
      </c>
      <c r="AJ116" s="1930">
        <v>0.4</v>
      </c>
      <c r="AK116" s="1930">
        <v>0.4</v>
      </c>
      <c r="AL116" s="1930">
        <v>0.4</v>
      </c>
      <c r="AM116" s="1930">
        <v>0.4</v>
      </c>
      <c r="AN116" s="1930">
        <v>0.4</v>
      </c>
      <c r="AO116" s="1930">
        <v>0.4</v>
      </c>
      <c r="AP116" s="1930">
        <v>0.4</v>
      </c>
      <c r="AQ116" s="1994">
        <v>0.4</v>
      </c>
      <c r="AR116" s="1930">
        <v>0.4</v>
      </c>
      <c r="AS116" s="1934">
        <v>0.4</v>
      </c>
      <c r="AT116" s="1935">
        <v>0</v>
      </c>
      <c r="AU116" s="1934">
        <v>0</v>
      </c>
      <c r="AV116" s="1934">
        <v>0</v>
      </c>
      <c r="AW116"/>
      <c r="AX116" s="1928">
        <v>2</v>
      </c>
      <c r="AY116" s="1933" t="s">
        <v>125</v>
      </c>
      <c r="AZ116" s="1957" t="s">
        <v>1157</v>
      </c>
      <c r="BA116" s="1934">
        <v>0.4</v>
      </c>
      <c r="BB116" s="1934">
        <v>0.4</v>
      </c>
      <c r="BC116" s="1934">
        <v>0.4</v>
      </c>
      <c r="BD116" s="1934">
        <v>0.4</v>
      </c>
      <c r="BE116" s="1934">
        <v>0.4</v>
      </c>
      <c r="BF116" s="1934">
        <v>0.4</v>
      </c>
      <c r="BG116" s="1934">
        <v>0.4</v>
      </c>
      <c r="BH116" s="1995">
        <v>0.4</v>
      </c>
      <c r="BI116" s="1934">
        <v>0.4</v>
      </c>
      <c r="BJ116" s="1934">
        <v>0.4</v>
      </c>
      <c r="BK116" s="1935"/>
      <c r="BL116" s="1934"/>
      <c r="BM116" s="1934"/>
      <c r="BN116"/>
      <c r="BO116" s="1928">
        <v>2</v>
      </c>
      <c r="BP116" s="1933" t="s">
        <v>125</v>
      </c>
      <c r="BQ116" s="1957" t="s">
        <v>191</v>
      </c>
      <c r="BR116" s="1934">
        <v>0.4</v>
      </c>
      <c r="BS116" s="1934">
        <v>0.4</v>
      </c>
      <c r="BT116" s="1934">
        <v>0.4</v>
      </c>
      <c r="BU116" s="1934">
        <v>0.4</v>
      </c>
      <c r="BV116" s="1934">
        <v>0.4</v>
      </c>
      <c r="BW116" s="1934">
        <v>0.4</v>
      </c>
      <c r="BX116" s="1934">
        <v>0.4</v>
      </c>
      <c r="BY116" s="1995">
        <v>0.4</v>
      </c>
      <c r="BZ116" s="1934">
        <v>0.4</v>
      </c>
      <c r="CA116" s="1934">
        <v>0.4</v>
      </c>
      <c r="CB116" s="1935"/>
      <c r="CC116" s="1934"/>
      <c r="CD116" s="1934"/>
      <c r="CE116" s="2301"/>
      <c r="CF116"/>
      <c r="CG116" s="1928">
        <v>2</v>
      </c>
      <c r="CH116" s="1933" t="s">
        <v>125</v>
      </c>
      <c r="CI116" s="1957" t="s">
        <v>3553</v>
      </c>
      <c r="CJ116" s="2937">
        <f t="shared" si="59"/>
        <v>0.4</v>
      </c>
      <c r="CK116" s="2937">
        <f t="shared" si="59"/>
        <v>0.4</v>
      </c>
      <c r="CL116" s="2937">
        <f t="shared" si="59"/>
        <v>0.4</v>
      </c>
      <c r="CM116" s="2937">
        <f t="shared" si="59"/>
        <v>0.4</v>
      </c>
      <c r="CN116" s="2937">
        <f t="shared" si="59"/>
        <v>0.4</v>
      </c>
      <c r="CO116" s="2937">
        <f t="shared" si="59"/>
        <v>0.4</v>
      </c>
      <c r="CP116" s="2937">
        <f t="shared" si="59"/>
        <v>0.4</v>
      </c>
      <c r="CQ116" s="2975">
        <f t="shared" si="59"/>
        <v>0.4</v>
      </c>
      <c r="CR116" s="2937">
        <f t="shared" si="59"/>
        <v>0.4</v>
      </c>
      <c r="CS116" s="2937">
        <f t="shared" si="59"/>
        <v>0.4</v>
      </c>
      <c r="CT116" s="2939">
        <f t="shared" si="57"/>
        <v>0</v>
      </c>
      <c r="CU116" s="2937">
        <f t="shared" si="57"/>
        <v>0</v>
      </c>
      <c r="CV116" s="2937">
        <f t="shared" si="57"/>
        <v>0</v>
      </c>
      <c r="CW116" s="2445"/>
      <c r="CX116" s="1928">
        <v>2</v>
      </c>
      <c r="CY116" s="1933" t="s">
        <v>125</v>
      </c>
      <c r="CZ116" s="1957" t="s">
        <v>3553</v>
      </c>
      <c r="DA116" s="2974">
        <v>0</v>
      </c>
      <c r="DB116" s="2940"/>
      <c r="DC116" s="2940"/>
      <c r="DD116" s="2940"/>
      <c r="DE116" s="2940"/>
      <c r="DF116" s="2940"/>
      <c r="DG116" s="2940"/>
      <c r="DH116" s="2976"/>
      <c r="DI116" s="2940"/>
      <c r="DJ116" s="2940"/>
      <c r="DK116" s="2942"/>
      <c r="DL116" s="2940"/>
      <c r="DM116" s="2940"/>
    </row>
    <row r="117" spans="1:117" s="1328" customFormat="1">
      <c r="A117"/>
      <c r="B117" s="1914">
        <f t="shared" si="53"/>
        <v>3</v>
      </c>
      <c r="C117" s="1955" t="str">
        <f t="shared" si="49"/>
        <v>地域性・アメニティへの配慮</v>
      </c>
      <c r="D117" s="1925">
        <f t="shared" si="58"/>
        <v>0.3</v>
      </c>
      <c r="E117" s="1926">
        <f t="shared" si="58"/>
        <v>0</v>
      </c>
      <c r="F117"/>
      <c r="G117" s="1926">
        <f t="shared" si="50"/>
        <v>0.3</v>
      </c>
      <c r="H117" s="1926">
        <f t="shared" si="51"/>
        <v>0</v>
      </c>
      <c r="I117" s="1998">
        <f>SUM(G118:G119)</f>
        <v>1</v>
      </c>
      <c r="J117" s="1998">
        <f>SUM(H118:H119)</f>
        <v>0</v>
      </c>
      <c r="K117" s="1926">
        <f>IF(スコア!Q117=0,0,1)</f>
        <v>1</v>
      </c>
      <c r="L117" s="1926">
        <f>IF(スコア!T117=0,0,1)</f>
        <v>0</v>
      </c>
      <c r="M117" s="1926">
        <f t="shared" si="52"/>
        <v>0.3</v>
      </c>
      <c r="N117" s="1926">
        <f t="shared" si="47"/>
        <v>0</v>
      </c>
      <c r="O117"/>
      <c r="P117" s="1928">
        <f t="shared" si="56"/>
        <v>3</v>
      </c>
      <c r="Q117" s="1928" t="str">
        <f t="shared" si="56"/>
        <v xml:space="preserve"> Q3</v>
      </c>
      <c r="R117" s="1929" t="str">
        <f t="shared" si="56"/>
        <v>地域性・アメニティへの配慮</v>
      </c>
      <c r="S117" s="1930">
        <f t="shared" si="56"/>
        <v>0.3</v>
      </c>
      <c r="T117" s="1930">
        <f t="shared" si="56"/>
        <v>0.3</v>
      </c>
      <c r="U117" s="1930">
        <f t="shared" si="56"/>
        <v>0.3</v>
      </c>
      <c r="V117" s="1930">
        <f t="shared" si="54"/>
        <v>0.3</v>
      </c>
      <c r="W117" s="1930">
        <f t="shared" si="54"/>
        <v>0.3</v>
      </c>
      <c r="X117" s="1930">
        <f t="shared" si="54"/>
        <v>0.3</v>
      </c>
      <c r="Y117" s="1930">
        <f t="shared" si="54"/>
        <v>0.3</v>
      </c>
      <c r="Z117" s="1994">
        <f t="shared" si="55"/>
        <v>0.3</v>
      </c>
      <c r="AA117" s="1930">
        <f t="shared" si="55"/>
        <v>0.3</v>
      </c>
      <c r="AB117" s="1930">
        <f t="shared" si="55"/>
        <v>0.3</v>
      </c>
      <c r="AC117" s="1932">
        <f t="shared" si="55"/>
        <v>0</v>
      </c>
      <c r="AD117" s="1930">
        <f t="shared" si="55"/>
        <v>0</v>
      </c>
      <c r="AE117" s="1930">
        <f t="shared" si="55"/>
        <v>0</v>
      </c>
      <c r="AF117"/>
      <c r="AG117" s="1928">
        <v>3</v>
      </c>
      <c r="AH117" s="1933" t="s">
        <v>125</v>
      </c>
      <c r="AI117" s="1957" t="s">
        <v>1158</v>
      </c>
      <c r="AJ117" s="1930">
        <v>0.3</v>
      </c>
      <c r="AK117" s="1930">
        <v>0.3</v>
      </c>
      <c r="AL117" s="1930">
        <v>0.3</v>
      </c>
      <c r="AM117" s="1930">
        <v>0.3</v>
      </c>
      <c r="AN117" s="1930">
        <v>0.3</v>
      </c>
      <c r="AO117" s="1930">
        <v>0.3</v>
      </c>
      <c r="AP117" s="1930">
        <v>0.3</v>
      </c>
      <c r="AQ117" s="1994">
        <v>0.3</v>
      </c>
      <c r="AR117" s="1930">
        <v>0.3</v>
      </c>
      <c r="AS117" s="1934">
        <v>0.3</v>
      </c>
      <c r="AT117" s="1935">
        <v>0</v>
      </c>
      <c r="AU117" s="1934">
        <v>0</v>
      </c>
      <c r="AV117" s="1934">
        <v>0</v>
      </c>
      <c r="AW117"/>
      <c r="AX117" s="1928">
        <v>3</v>
      </c>
      <c r="AY117" s="1933" t="s">
        <v>125</v>
      </c>
      <c r="AZ117" s="1957" t="s">
        <v>1158</v>
      </c>
      <c r="BA117" s="1934">
        <v>0.3</v>
      </c>
      <c r="BB117" s="1934">
        <v>0.3</v>
      </c>
      <c r="BC117" s="1934">
        <v>0.3</v>
      </c>
      <c r="BD117" s="1934">
        <v>0.3</v>
      </c>
      <c r="BE117" s="1934">
        <v>0.3</v>
      </c>
      <c r="BF117" s="1934">
        <v>0.3</v>
      </c>
      <c r="BG117" s="1934">
        <v>0.3</v>
      </c>
      <c r="BH117" s="1995">
        <v>0.3</v>
      </c>
      <c r="BI117" s="1934">
        <v>0.3</v>
      </c>
      <c r="BJ117" s="1934">
        <v>0.3</v>
      </c>
      <c r="BK117" s="1935"/>
      <c r="BL117" s="1934"/>
      <c r="BM117" s="1934"/>
      <c r="BN117"/>
      <c r="BO117" s="1928">
        <v>3</v>
      </c>
      <c r="BP117" s="1933" t="s">
        <v>125</v>
      </c>
      <c r="BQ117" s="1957" t="s">
        <v>192</v>
      </c>
      <c r="BR117" s="1934">
        <v>0.3</v>
      </c>
      <c r="BS117" s="1934">
        <v>0.3</v>
      </c>
      <c r="BT117" s="1934">
        <v>0.3</v>
      </c>
      <c r="BU117" s="1934">
        <v>0.3</v>
      </c>
      <c r="BV117" s="1934">
        <v>0.3</v>
      </c>
      <c r="BW117" s="1934">
        <v>0.3</v>
      </c>
      <c r="BX117" s="1934">
        <v>0.3</v>
      </c>
      <c r="BY117" s="1995">
        <v>0.3</v>
      </c>
      <c r="BZ117" s="1934">
        <v>0.3</v>
      </c>
      <c r="CA117" s="1934">
        <v>0.3</v>
      </c>
      <c r="CB117" s="1935"/>
      <c r="CC117" s="1934"/>
      <c r="CD117" s="1934"/>
      <c r="CE117" s="2301"/>
      <c r="CF117"/>
      <c r="CG117" s="1928">
        <v>3</v>
      </c>
      <c r="CH117" s="1933" t="s">
        <v>125</v>
      </c>
      <c r="CI117" s="1957" t="s">
        <v>3554</v>
      </c>
      <c r="CJ117" s="2937">
        <f t="shared" si="59"/>
        <v>0.3</v>
      </c>
      <c r="CK117" s="2937">
        <f t="shared" si="59"/>
        <v>0.3</v>
      </c>
      <c r="CL117" s="2937">
        <f t="shared" si="59"/>
        <v>0.3</v>
      </c>
      <c r="CM117" s="2937">
        <f t="shared" si="59"/>
        <v>0.3</v>
      </c>
      <c r="CN117" s="2937">
        <f t="shared" si="59"/>
        <v>0.3</v>
      </c>
      <c r="CO117" s="2937">
        <f t="shared" si="59"/>
        <v>0.3</v>
      </c>
      <c r="CP117" s="2937">
        <f t="shared" si="59"/>
        <v>0.3</v>
      </c>
      <c r="CQ117" s="2975">
        <f t="shared" si="59"/>
        <v>0.3</v>
      </c>
      <c r="CR117" s="2937">
        <f t="shared" si="59"/>
        <v>0.3</v>
      </c>
      <c r="CS117" s="2937">
        <f t="shared" si="59"/>
        <v>0.3</v>
      </c>
      <c r="CT117" s="2939">
        <f t="shared" si="57"/>
        <v>0</v>
      </c>
      <c r="CU117" s="2937">
        <f t="shared" si="57"/>
        <v>0</v>
      </c>
      <c r="CV117" s="2937">
        <f t="shared" si="57"/>
        <v>0</v>
      </c>
      <c r="CW117" s="2445"/>
      <c r="CX117" s="1928">
        <v>3</v>
      </c>
      <c r="CY117" s="1933" t="s">
        <v>125</v>
      </c>
      <c r="CZ117" s="1957" t="s">
        <v>3554</v>
      </c>
      <c r="DA117" s="2974">
        <v>0</v>
      </c>
      <c r="DB117" s="2940"/>
      <c r="DC117" s="2940"/>
      <c r="DD117" s="2940"/>
      <c r="DE117" s="2940"/>
      <c r="DF117" s="2940"/>
      <c r="DG117" s="2940"/>
      <c r="DH117" s="2976"/>
      <c r="DI117" s="2940"/>
      <c r="DJ117" s="2940"/>
      <c r="DK117" s="2942"/>
      <c r="DL117" s="2940"/>
      <c r="DM117" s="2940"/>
    </row>
    <row r="118" spans="1:117" s="1328" customFormat="1">
      <c r="A118"/>
      <c r="B118" s="1914" t="str">
        <f t="shared" si="53"/>
        <v>3.1</v>
      </c>
      <c r="C118" s="1999" t="str">
        <f t="shared" si="49"/>
        <v>地域性への配慮、快適性の向上</v>
      </c>
      <c r="D118" s="1938">
        <f>IF(I$117=0,0,G118/I$117)</f>
        <v>0.5</v>
      </c>
      <c r="E118" s="1939">
        <f>IF(J$117=0,0,H118/J$117)</f>
        <v>0</v>
      </c>
      <c r="F118"/>
      <c r="G118" s="1939">
        <f t="shared" si="50"/>
        <v>0.5</v>
      </c>
      <c r="H118" s="1939">
        <f t="shared" si="51"/>
        <v>0</v>
      </c>
      <c r="I118" s="850"/>
      <c r="J118" s="1939"/>
      <c r="K118" s="1939">
        <f>IF(スコア!Q118=0,0,1)</f>
        <v>1</v>
      </c>
      <c r="L118" s="1939">
        <f>IF(スコア!T118=0,0,1)</f>
        <v>0</v>
      </c>
      <c r="M118" s="1939">
        <f t="shared" si="52"/>
        <v>0.5</v>
      </c>
      <c r="N118" s="1939">
        <f t="shared" si="47"/>
        <v>0</v>
      </c>
      <c r="O118"/>
      <c r="P118" s="1940" t="str">
        <f t="shared" si="56"/>
        <v>3.1</v>
      </c>
      <c r="Q118" s="1940" t="str">
        <f t="shared" si="56"/>
        <v xml:space="preserve"> Q3 3</v>
      </c>
      <c r="R118" s="1941" t="str">
        <f t="shared" si="56"/>
        <v>地域性への配慮、快適性の向上</v>
      </c>
      <c r="S118" s="2000">
        <f t="shared" si="56"/>
        <v>0.5</v>
      </c>
      <c r="T118" s="2000">
        <f t="shared" si="56"/>
        <v>0.5</v>
      </c>
      <c r="U118" s="2000">
        <f t="shared" si="56"/>
        <v>0.5</v>
      </c>
      <c r="V118" s="2000">
        <f t="shared" si="54"/>
        <v>0.5</v>
      </c>
      <c r="W118" s="2000">
        <f t="shared" si="54"/>
        <v>0.5</v>
      </c>
      <c r="X118" s="2000">
        <f t="shared" si="54"/>
        <v>0.5</v>
      </c>
      <c r="Y118" s="2000">
        <f t="shared" si="54"/>
        <v>0.5</v>
      </c>
      <c r="Z118" s="2000">
        <f t="shared" si="55"/>
        <v>0.5</v>
      </c>
      <c r="AA118" s="2000">
        <f t="shared" si="55"/>
        <v>0.5</v>
      </c>
      <c r="AB118" s="2000">
        <f t="shared" si="55"/>
        <v>0.5</v>
      </c>
      <c r="AC118" s="2001">
        <f t="shared" si="55"/>
        <v>0</v>
      </c>
      <c r="AD118" s="2000">
        <f t="shared" si="55"/>
        <v>0</v>
      </c>
      <c r="AE118" s="2000">
        <f t="shared" si="55"/>
        <v>0</v>
      </c>
      <c r="AF118"/>
      <c r="AG118" s="1940" t="s">
        <v>1159</v>
      </c>
      <c r="AH118" s="1944" t="s">
        <v>127</v>
      </c>
      <c r="AI118" s="1999" t="s">
        <v>2533</v>
      </c>
      <c r="AJ118" s="2000">
        <v>0.5</v>
      </c>
      <c r="AK118" s="2000">
        <v>0.5</v>
      </c>
      <c r="AL118" s="2000">
        <v>0.5</v>
      </c>
      <c r="AM118" s="2000">
        <v>0.5</v>
      </c>
      <c r="AN118" s="2000">
        <v>0.5</v>
      </c>
      <c r="AO118" s="2000">
        <v>0.5</v>
      </c>
      <c r="AP118" s="2000">
        <v>0.5</v>
      </c>
      <c r="AQ118" s="2000">
        <v>0.5</v>
      </c>
      <c r="AR118" s="2000">
        <v>0.5</v>
      </c>
      <c r="AS118" s="2002">
        <v>0.5</v>
      </c>
      <c r="AT118" s="2003">
        <v>0</v>
      </c>
      <c r="AU118" s="2002">
        <v>0</v>
      </c>
      <c r="AV118" s="2002">
        <v>0</v>
      </c>
      <c r="AW118"/>
      <c r="AX118" s="1940" t="s">
        <v>1159</v>
      </c>
      <c r="AY118" s="1944" t="s">
        <v>127</v>
      </c>
      <c r="AZ118" s="1999" t="s">
        <v>2534</v>
      </c>
      <c r="BA118" s="2002">
        <v>0.5</v>
      </c>
      <c r="BB118" s="2002">
        <v>0.5</v>
      </c>
      <c r="BC118" s="2002">
        <v>0.5</v>
      </c>
      <c r="BD118" s="2002">
        <v>0.5</v>
      </c>
      <c r="BE118" s="2002">
        <v>0.5</v>
      </c>
      <c r="BF118" s="2002">
        <v>0.5</v>
      </c>
      <c r="BG118" s="2002">
        <v>0.5</v>
      </c>
      <c r="BH118" s="2002">
        <v>0.5</v>
      </c>
      <c r="BI118" s="2002">
        <v>0.5</v>
      </c>
      <c r="BJ118" s="2002">
        <v>0.5</v>
      </c>
      <c r="BK118" s="2003"/>
      <c r="BL118" s="2002"/>
      <c r="BM118" s="2002"/>
      <c r="BN118"/>
      <c r="BO118" s="1940" t="s">
        <v>3708</v>
      </c>
      <c r="BP118" s="1944" t="s">
        <v>127</v>
      </c>
      <c r="BQ118" s="1999" t="s">
        <v>3655</v>
      </c>
      <c r="BR118" s="2002">
        <v>0.5</v>
      </c>
      <c r="BS118" s="2002">
        <v>0.5</v>
      </c>
      <c r="BT118" s="2002">
        <v>0.5</v>
      </c>
      <c r="BU118" s="2002">
        <v>0.5</v>
      </c>
      <c r="BV118" s="2002">
        <v>0.5</v>
      </c>
      <c r="BW118" s="2002">
        <v>0.5</v>
      </c>
      <c r="BX118" s="2002">
        <v>0.5</v>
      </c>
      <c r="BY118" s="2002">
        <v>0.5</v>
      </c>
      <c r="BZ118" s="2002">
        <v>0.5</v>
      </c>
      <c r="CA118" s="2002">
        <v>0.5</v>
      </c>
      <c r="CB118" s="2003"/>
      <c r="CC118" s="2002"/>
      <c r="CD118" s="2002"/>
      <c r="CE118" s="2305"/>
      <c r="CF118"/>
      <c r="CG118" s="1940" t="s">
        <v>3555</v>
      </c>
      <c r="CH118" s="1944" t="s">
        <v>127</v>
      </c>
      <c r="CI118" s="1999" t="s">
        <v>3556</v>
      </c>
      <c r="CJ118" s="2979">
        <f t="shared" si="59"/>
        <v>0.5</v>
      </c>
      <c r="CK118" s="2979">
        <f t="shared" si="59"/>
        <v>0.5</v>
      </c>
      <c r="CL118" s="2979">
        <f t="shared" si="59"/>
        <v>0.5</v>
      </c>
      <c r="CM118" s="2979">
        <f t="shared" si="59"/>
        <v>0.5</v>
      </c>
      <c r="CN118" s="2979">
        <f t="shared" si="59"/>
        <v>0.5</v>
      </c>
      <c r="CO118" s="2979">
        <f t="shared" si="59"/>
        <v>0.5</v>
      </c>
      <c r="CP118" s="2979">
        <f t="shared" si="59"/>
        <v>0.5</v>
      </c>
      <c r="CQ118" s="2979">
        <f t="shared" si="59"/>
        <v>0.5</v>
      </c>
      <c r="CR118" s="2979">
        <f t="shared" si="59"/>
        <v>0.5</v>
      </c>
      <c r="CS118" s="2979">
        <f t="shared" si="59"/>
        <v>0.5</v>
      </c>
      <c r="CT118" s="2980">
        <f t="shared" si="57"/>
        <v>0</v>
      </c>
      <c r="CU118" s="2979">
        <f t="shared" si="57"/>
        <v>0</v>
      </c>
      <c r="CV118" s="2979">
        <f t="shared" si="57"/>
        <v>0</v>
      </c>
      <c r="CW118" s="2445"/>
      <c r="CX118" s="1940" t="s">
        <v>3555</v>
      </c>
      <c r="CY118" s="1944" t="s">
        <v>127</v>
      </c>
      <c r="CZ118" s="1999" t="s">
        <v>3556</v>
      </c>
      <c r="DA118" s="2981">
        <v>0</v>
      </c>
      <c r="DB118" s="2982"/>
      <c r="DC118" s="2982"/>
      <c r="DD118" s="2982"/>
      <c r="DE118" s="2982"/>
      <c r="DF118" s="2982"/>
      <c r="DG118" s="2982"/>
      <c r="DH118" s="2982"/>
      <c r="DI118" s="2982"/>
      <c r="DJ118" s="2982"/>
      <c r="DK118" s="2983"/>
      <c r="DL118" s="2982"/>
      <c r="DM118" s="2982"/>
    </row>
    <row r="119" spans="1:117" s="1328" customFormat="1">
      <c r="A119"/>
      <c r="B119" s="1914" t="str">
        <f t="shared" si="53"/>
        <v>3.2</v>
      </c>
      <c r="C119" s="1999" t="str">
        <f t="shared" si="49"/>
        <v>敷地内温熱環境の向上</v>
      </c>
      <c r="D119" s="1938">
        <f>IF(I$117=0,0,G119/I$117)</f>
        <v>0.5</v>
      </c>
      <c r="E119" s="1939">
        <f>IF(J$117=0,0,H119/J$117)</f>
        <v>0</v>
      </c>
      <c r="F119"/>
      <c r="G119" s="1939">
        <f t="shared" si="50"/>
        <v>0.5</v>
      </c>
      <c r="H119" s="1939">
        <f t="shared" si="51"/>
        <v>0</v>
      </c>
      <c r="I119" s="850"/>
      <c r="J119" s="1939"/>
      <c r="K119" s="1939">
        <f>IF(スコア!Q119=0,0,1)</f>
        <v>1</v>
      </c>
      <c r="L119" s="1939">
        <f>IF(スコア!T119=0,0,1)</f>
        <v>0</v>
      </c>
      <c r="M119" s="1939">
        <f t="shared" si="52"/>
        <v>0.5</v>
      </c>
      <c r="N119" s="1939">
        <f t="shared" si="47"/>
        <v>0</v>
      </c>
      <c r="O119"/>
      <c r="P119" s="1940" t="str">
        <f t="shared" si="56"/>
        <v>3.2</v>
      </c>
      <c r="Q119" s="1940" t="str">
        <f t="shared" si="56"/>
        <v xml:space="preserve"> Q3 3</v>
      </c>
      <c r="R119" s="1941" t="str">
        <f t="shared" si="56"/>
        <v>敷地内温熱環境の向上</v>
      </c>
      <c r="S119" s="2000">
        <f t="shared" si="56"/>
        <v>0.5</v>
      </c>
      <c r="T119" s="2000">
        <f t="shared" si="56"/>
        <v>0.5</v>
      </c>
      <c r="U119" s="2000">
        <f t="shared" si="56"/>
        <v>0.5</v>
      </c>
      <c r="V119" s="2000">
        <f t="shared" si="54"/>
        <v>0.5</v>
      </c>
      <c r="W119" s="2000">
        <f t="shared" si="54"/>
        <v>0.5</v>
      </c>
      <c r="X119" s="2000">
        <f t="shared" si="54"/>
        <v>0.5</v>
      </c>
      <c r="Y119" s="2000">
        <f t="shared" si="54"/>
        <v>0.5</v>
      </c>
      <c r="Z119" s="2000">
        <f t="shared" si="55"/>
        <v>0.5</v>
      </c>
      <c r="AA119" s="2000">
        <f t="shared" si="55"/>
        <v>0.5</v>
      </c>
      <c r="AB119" s="2000">
        <f t="shared" si="55"/>
        <v>0.5</v>
      </c>
      <c r="AC119" s="2001">
        <f t="shared" si="55"/>
        <v>0</v>
      </c>
      <c r="AD119" s="2000">
        <f t="shared" si="55"/>
        <v>0</v>
      </c>
      <c r="AE119" s="2000">
        <f t="shared" si="55"/>
        <v>0</v>
      </c>
      <c r="AF119"/>
      <c r="AG119" s="1940" t="s">
        <v>1160</v>
      </c>
      <c r="AH119" s="1944" t="s">
        <v>127</v>
      </c>
      <c r="AI119" s="1999" t="s">
        <v>1161</v>
      </c>
      <c r="AJ119" s="2000">
        <v>0.5</v>
      </c>
      <c r="AK119" s="2000">
        <v>0.5</v>
      </c>
      <c r="AL119" s="2000">
        <v>0.5</v>
      </c>
      <c r="AM119" s="2000">
        <v>0.5</v>
      </c>
      <c r="AN119" s="2000">
        <v>0.5</v>
      </c>
      <c r="AO119" s="2000">
        <v>0.5</v>
      </c>
      <c r="AP119" s="2000">
        <v>0.5</v>
      </c>
      <c r="AQ119" s="2000">
        <v>0.5</v>
      </c>
      <c r="AR119" s="2000">
        <v>0.5</v>
      </c>
      <c r="AS119" s="2002">
        <v>0.5</v>
      </c>
      <c r="AT119" s="2003">
        <v>0</v>
      </c>
      <c r="AU119" s="2002">
        <v>0</v>
      </c>
      <c r="AV119" s="2002">
        <v>0</v>
      </c>
      <c r="AW119"/>
      <c r="AX119" s="1940" t="s">
        <v>1160</v>
      </c>
      <c r="AY119" s="1944" t="s">
        <v>127</v>
      </c>
      <c r="AZ119" s="1999" t="s">
        <v>1161</v>
      </c>
      <c r="BA119" s="2002">
        <v>0.5</v>
      </c>
      <c r="BB119" s="2002">
        <v>0.5</v>
      </c>
      <c r="BC119" s="2002">
        <v>0.5</v>
      </c>
      <c r="BD119" s="2002">
        <v>0.5</v>
      </c>
      <c r="BE119" s="2002">
        <v>0.5</v>
      </c>
      <c r="BF119" s="2002">
        <v>0.5</v>
      </c>
      <c r="BG119" s="2002">
        <v>0.5</v>
      </c>
      <c r="BH119" s="2002">
        <v>0.5</v>
      </c>
      <c r="BI119" s="2002">
        <v>0.5</v>
      </c>
      <c r="BJ119" s="2002">
        <v>0.5</v>
      </c>
      <c r="BK119" s="2003"/>
      <c r="BL119" s="2002"/>
      <c r="BM119" s="2002"/>
      <c r="BN119"/>
      <c r="BO119" s="1940" t="s">
        <v>3709</v>
      </c>
      <c r="BP119" s="1944" t="s">
        <v>127</v>
      </c>
      <c r="BQ119" s="1999" t="s">
        <v>3656</v>
      </c>
      <c r="BR119" s="2002">
        <v>0.5</v>
      </c>
      <c r="BS119" s="2002">
        <v>0.5</v>
      </c>
      <c r="BT119" s="2002">
        <v>0.5</v>
      </c>
      <c r="BU119" s="2002">
        <v>0.5</v>
      </c>
      <c r="BV119" s="2002">
        <v>0.5</v>
      </c>
      <c r="BW119" s="2002">
        <v>0.5</v>
      </c>
      <c r="BX119" s="2002">
        <v>0.5</v>
      </c>
      <c r="BY119" s="2002">
        <v>0.5</v>
      </c>
      <c r="BZ119" s="2002">
        <v>0.5</v>
      </c>
      <c r="CA119" s="2002">
        <v>0.5</v>
      </c>
      <c r="CB119" s="2003"/>
      <c r="CC119" s="2002"/>
      <c r="CD119" s="2002"/>
      <c r="CE119" s="2305"/>
      <c r="CF119"/>
      <c r="CG119" s="1940" t="s">
        <v>3557</v>
      </c>
      <c r="CH119" s="1944" t="s">
        <v>127</v>
      </c>
      <c r="CI119" s="1999" t="s">
        <v>3558</v>
      </c>
      <c r="CJ119" s="2979">
        <f t="shared" si="59"/>
        <v>0.5</v>
      </c>
      <c r="CK119" s="2979">
        <f t="shared" si="59"/>
        <v>0.5</v>
      </c>
      <c r="CL119" s="2979">
        <f t="shared" si="59"/>
        <v>0.5</v>
      </c>
      <c r="CM119" s="2979">
        <f t="shared" si="59"/>
        <v>0.5</v>
      </c>
      <c r="CN119" s="2979">
        <f t="shared" si="59"/>
        <v>0.5</v>
      </c>
      <c r="CO119" s="2979">
        <f t="shared" si="59"/>
        <v>0.5</v>
      </c>
      <c r="CP119" s="2979">
        <f t="shared" si="59"/>
        <v>0.5</v>
      </c>
      <c r="CQ119" s="2979">
        <f t="shared" si="59"/>
        <v>0.5</v>
      </c>
      <c r="CR119" s="2979">
        <f t="shared" si="59"/>
        <v>0.5</v>
      </c>
      <c r="CS119" s="2979">
        <f t="shared" si="59"/>
        <v>0.5</v>
      </c>
      <c r="CT119" s="2980">
        <f t="shared" si="57"/>
        <v>0</v>
      </c>
      <c r="CU119" s="2979">
        <f t="shared" si="57"/>
        <v>0</v>
      </c>
      <c r="CV119" s="2979">
        <f t="shared" si="57"/>
        <v>0</v>
      </c>
      <c r="CW119" s="2445"/>
      <c r="CX119" s="1940" t="s">
        <v>3557</v>
      </c>
      <c r="CY119" s="1944" t="s">
        <v>127</v>
      </c>
      <c r="CZ119" s="1999" t="s">
        <v>3558</v>
      </c>
      <c r="DA119" s="2981">
        <v>0</v>
      </c>
      <c r="DB119" s="2982"/>
      <c r="DC119" s="2982"/>
      <c r="DD119" s="2982"/>
      <c r="DE119" s="2982"/>
      <c r="DF119" s="2982"/>
      <c r="DG119" s="2982"/>
      <c r="DH119" s="2982"/>
      <c r="DI119" s="2982"/>
      <c r="DJ119" s="2982"/>
      <c r="DK119" s="2983"/>
      <c r="DL119" s="2982"/>
      <c r="DM119" s="2982"/>
    </row>
    <row r="120" spans="1:117" s="1328" customFormat="1" hidden="1">
      <c r="A120"/>
      <c r="B120" s="1914">
        <f t="shared" si="53"/>
        <v>0</v>
      </c>
      <c r="C120" s="1955">
        <f t="shared" si="49"/>
        <v>0</v>
      </c>
      <c r="D120" s="1925"/>
      <c r="E120" s="1926"/>
      <c r="F120"/>
      <c r="G120" s="1926">
        <f t="shared" si="50"/>
        <v>0</v>
      </c>
      <c r="H120" s="1926">
        <f t="shared" si="51"/>
        <v>0</v>
      </c>
      <c r="I120" s="1926"/>
      <c r="J120" s="1926"/>
      <c r="K120" s="1926"/>
      <c r="L120" s="1926"/>
      <c r="M120" s="1926">
        <f t="shared" si="52"/>
        <v>0</v>
      </c>
      <c r="N120" s="1926"/>
      <c r="O120"/>
      <c r="P120" s="1928">
        <f t="shared" si="56"/>
        <v>0</v>
      </c>
      <c r="Q120" s="1928" t="str">
        <f t="shared" si="56"/>
        <v xml:space="preserve"> Q</v>
      </c>
      <c r="R120" s="1929">
        <f t="shared" si="56"/>
        <v>0</v>
      </c>
      <c r="S120" s="1930">
        <f t="shared" si="56"/>
        <v>0</v>
      </c>
      <c r="T120" s="1930">
        <f t="shared" si="56"/>
        <v>0</v>
      </c>
      <c r="U120" s="1930">
        <f t="shared" si="56"/>
        <v>0</v>
      </c>
      <c r="V120" s="1930">
        <f t="shared" si="54"/>
        <v>0</v>
      </c>
      <c r="W120" s="1930">
        <f t="shared" si="54"/>
        <v>0</v>
      </c>
      <c r="X120" s="1930">
        <f t="shared" si="54"/>
        <v>0</v>
      </c>
      <c r="Y120" s="1930">
        <f t="shared" si="54"/>
        <v>0</v>
      </c>
      <c r="Z120" s="1994">
        <f t="shared" si="55"/>
        <v>0</v>
      </c>
      <c r="AA120" s="1930">
        <f t="shared" si="55"/>
        <v>0</v>
      </c>
      <c r="AB120" s="1930">
        <f t="shared" si="55"/>
        <v>0</v>
      </c>
      <c r="AC120" s="1932">
        <f t="shared" si="55"/>
        <v>0</v>
      </c>
      <c r="AD120" s="1930">
        <f t="shared" si="55"/>
        <v>0</v>
      </c>
      <c r="AE120" s="1930">
        <f t="shared" si="55"/>
        <v>0</v>
      </c>
      <c r="AF120"/>
      <c r="AG120" s="1928"/>
      <c r="AH120" s="1933" t="s">
        <v>766</v>
      </c>
      <c r="AI120" s="1957"/>
      <c r="AJ120" s="1934">
        <v>0</v>
      </c>
      <c r="AK120" s="1934">
        <v>0</v>
      </c>
      <c r="AL120" s="1934">
        <v>0</v>
      </c>
      <c r="AM120" s="1934">
        <v>0</v>
      </c>
      <c r="AN120" s="1934">
        <v>0</v>
      </c>
      <c r="AO120" s="1934">
        <v>0</v>
      </c>
      <c r="AP120" s="1934">
        <v>0</v>
      </c>
      <c r="AQ120" s="1995">
        <v>0</v>
      </c>
      <c r="AR120" s="1934">
        <v>0</v>
      </c>
      <c r="AS120" s="1934">
        <v>0</v>
      </c>
      <c r="AT120" s="1935">
        <v>0</v>
      </c>
      <c r="AU120" s="1934">
        <v>0</v>
      </c>
      <c r="AV120" s="1934">
        <v>0</v>
      </c>
      <c r="AW120"/>
      <c r="AX120" s="1928"/>
      <c r="AY120" s="1933" t="s">
        <v>766</v>
      </c>
      <c r="AZ120" s="1957"/>
      <c r="BA120" s="1934"/>
      <c r="BB120" s="1934"/>
      <c r="BC120" s="1934"/>
      <c r="BD120" s="1934"/>
      <c r="BE120" s="1934"/>
      <c r="BF120" s="1934"/>
      <c r="BG120" s="1934"/>
      <c r="BH120" s="1995"/>
      <c r="BI120" s="1934"/>
      <c r="BJ120" s="1934"/>
      <c r="BK120" s="1935"/>
      <c r="BL120" s="1934"/>
      <c r="BM120" s="1934"/>
      <c r="BN120"/>
      <c r="BO120" s="1928"/>
      <c r="BP120" s="1933" t="s">
        <v>766</v>
      </c>
      <c r="BQ120" s="1957"/>
      <c r="BR120" s="1934"/>
      <c r="BS120" s="1934"/>
      <c r="BT120" s="1934"/>
      <c r="BU120" s="1934"/>
      <c r="BV120" s="1934"/>
      <c r="BW120" s="1934"/>
      <c r="BX120" s="1934"/>
      <c r="BY120" s="1995"/>
      <c r="BZ120" s="1934"/>
      <c r="CA120" s="1934"/>
      <c r="CB120" s="1935"/>
      <c r="CC120" s="1934"/>
      <c r="CD120" s="1934"/>
      <c r="CE120" s="2301"/>
      <c r="CF120"/>
      <c r="CG120" s="1928"/>
      <c r="CH120" s="1933" t="s">
        <v>766</v>
      </c>
      <c r="CI120" s="1957"/>
      <c r="CJ120" s="2937">
        <f t="shared" si="59"/>
        <v>0</v>
      </c>
      <c r="CK120" s="2937">
        <f t="shared" si="59"/>
        <v>0</v>
      </c>
      <c r="CL120" s="2937">
        <f t="shared" si="59"/>
        <v>0</v>
      </c>
      <c r="CM120" s="2937">
        <f t="shared" si="59"/>
        <v>0</v>
      </c>
      <c r="CN120" s="2937">
        <f t="shared" si="59"/>
        <v>0</v>
      </c>
      <c r="CO120" s="2937">
        <f t="shared" si="59"/>
        <v>0</v>
      </c>
      <c r="CP120" s="2937">
        <f t="shared" si="59"/>
        <v>0</v>
      </c>
      <c r="CQ120" s="2975">
        <f t="shared" si="59"/>
        <v>0</v>
      </c>
      <c r="CR120" s="2937">
        <f t="shared" si="59"/>
        <v>0</v>
      </c>
      <c r="CS120" s="2937">
        <f t="shared" si="59"/>
        <v>0</v>
      </c>
      <c r="CT120" s="2939">
        <f t="shared" si="57"/>
        <v>0</v>
      </c>
      <c r="CU120" s="2937">
        <f t="shared" si="57"/>
        <v>0</v>
      </c>
      <c r="CV120" s="2937">
        <f t="shared" si="57"/>
        <v>0</v>
      </c>
      <c r="CW120" s="2445"/>
      <c r="CX120" s="1928"/>
      <c r="CY120" s="1933" t="s">
        <v>766</v>
      </c>
      <c r="CZ120" s="1957"/>
      <c r="DA120" s="2940">
        <f t="shared" si="41"/>
        <v>0</v>
      </c>
      <c r="DB120" s="2940"/>
      <c r="DC120" s="2940"/>
      <c r="DD120" s="2940"/>
      <c r="DE120" s="2940"/>
      <c r="DF120" s="2940"/>
      <c r="DG120" s="2940"/>
      <c r="DH120" s="2976"/>
      <c r="DI120" s="2940"/>
      <c r="DJ120" s="2940"/>
      <c r="DK120" s="2942"/>
      <c r="DL120" s="2940"/>
      <c r="DM120" s="2940"/>
    </row>
    <row r="121" spans="1:117" s="1328" customFormat="1" ht="14.25">
      <c r="A121"/>
      <c r="B121" s="2004" t="str">
        <f t="shared" si="53"/>
        <v>LR</v>
      </c>
      <c r="C121" s="1903" t="str">
        <f t="shared" si="49"/>
        <v>建築物の環境負荷低減性</v>
      </c>
      <c r="D121" s="1904"/>
      <c r="E121" s="1905"/>
      <c r="F121"/>
      <c r="G121" s="1905" t="e">
        <f t="shared" si="50"/>
        <v>#DIV/0!</v>
      </c>
      <c r="H121" s="1905">
        <f t="shared" si="51"/>
        <v>0</v>
      </c>
      <c r="I121" s="1905" t="e">
        <f>G122+G145+G172</f>
        <v>#DIV/0!</v>
      </c>
      <c r="J121" s="1905">
        <f>H122+H145+H172</f>
        <v>0</v>
      </c>
      <c r="K121" s="1905" t="e">
        <f>IF(スコア!V121=0,0,1)</f>
        <v>#DIV/0!</v>
      </c>
      <c r="L121" s="1905">
        <f>IF(スコア!T121=0,0,1)</f>
        <v>0</v>
      </c>
      <c r="M121" s="1905">
        <f t="shared" si="52"/>
        <v>0</v>
      </c>
      <c r="N121" s="1905">
        <f t="shared" ref="N121:N156" si="61">(AC$7*AC121)+(AD$7*AD121)+(AE$7*AE121)</f>
        <v>0</v>
      </c>
      <c r="O121"/>
      <c r="P121" s="1908" t="str">
        <f t="shared" si="56"/>
        <v>LR</v>
      </c>
      <c r="Q121" s="1908" t="str">
        <f t="shared" si="56"/>
        <v xml:space="preserve"> </v>
      </c>
      <c r="R121" s="2005" t="str">
        <f t="shared" si="56"/>
        <v>建築物の環境負荷低減性</v>
      </c>
      <c r="S121" s="2006">
        <f t="shared" si="56"/>
        <v>0</v>
      </c>
      <c r="T121" s="2006">
        <f t="shared" si="56"/>
        <v>0</v>
      </c>
      <c r="U121" s="2006">
        <f t="shared" si="56"/>
        <v>0</v>
      </c>
      <c r="V121" s="2006">
        <f t="shared" si="54"/>
        <v>0</v>
      </c>
      <c r="W121" s="2006">
        <f t="shared" si="54"/>
        <v>0</v>
      </c>
      <c r="X121" s="2006">
        <f t="shared" si="54"/>
        <v>0</v>
      </c>
      <c r="Y121" s="2006">
        <f t="shared" si="54"/>
        <v>0</v>
      </c>
      <c r="Z121" s="2007">
        <f t="shared" si="55"/>
        <v>0</v>
      </c>
      <c r="AA121" s="2006">
        <f t="shared" si="55"/>
        <v>0</v>
      </c>
      <c r="AB121" s="2006">
        <f t="shared" si="55"/>
        <v>0</v>
      </c>
      <c r="AC121" s="2008">
        <f t="shared" si="55"/>
        <v>0</v>
      </c>
      <c r="AD121" s="2009">
        <f t="shared" si="55"/>
        <v>0</v>
      </c>
      <c r="AE121" s="2009">
        <f t="shared" si="55"/>
        <v>0</v>
      </c>
      <c r="AF121"/>
      <c r="AG121" s="1908" t="s">
        <v>1162</v>
      </c>
      <c r="AH121" s="1902" t="s">
        <v>128</v>
      </c>
      <c r="AI121" s="1903" t="s">
        <v>129</v>
      </c>
      <c r="AJ121" s="1910">
        <v>0</v>
      </c>
      <c r="AK121" s="1910">
        <v>0</v>
      </c>
      <c r="AL121" s="1910">
        <v>0</v>
      </c>
      <c r="AM121" s="1910">
        <v>0</v>
      </c>
      <c r="AN121" s="1910">
        <v>0</v>
      </c>
      <c r="AO121" s="1910">
        <v>0</v>
      </c>
      <c r="AP121" s="1910">
        <v>0</v>
      </c>
      <c r="AQ121" s="1911">
        <v>0</v>
      </c>
      <c r="AR121" s="1910">
        <v>0</v>
      </c>
      <c r="AS121" s="1910">
        <v>0</v>
      </c>
      <c r="AT121" s="1912">
        <v>0</v>
      </c>
      <c r="AU121" s="1913">
        <v>0</v>
      </c>
      <c r="AV121" s="1913">
        <v>0</v>
      </c>
      <c r="AW121"/>
      <c r="AX121" s="1908" t="s">
        <v>1163</v>
      </c>
      <c r="AY121" s="1902" t="s">
        <v>128</v>
      </c>
      <c r="AZ121" s="1903" t="s">
        <v>129</v>
      </c>
      <c r="BA121" s="1910"/>
      <c r="BB121" s="1910"/>
      <c r="BC121" s="1910"/>
      <c r="BD121" s="1910"/>
      <c r="BE121" s="1910"/>
      <c r="BF121" s="1910"/>
      <c r="BG121" s="1910"/>
      <c r="BH121" s="1911"/>
      <c r="BI121" s="1910"/>
      <c r="BJ121" s="1910"/>
      <c r="BK121" s="1912"/>
      <c r="BL121" s="1913"/>
      <c r="BM121" s="1913"/>
      <c r="BN121"/>
      <c r="BO121" s="1908" t="s">
        <v>130</v>
      </c>
      <c r="BP121" s="1902" t="s">
        <v>128</v>
      </c>
      <c r="BQ121" s="1903" t="s">
        <v>3751</v>
      </c>
      <c r="BR121" s="1910"/>
      <c r="BS121" s="1910"/>
      <c r="BT121" s="1910"/>
      <c r="BU121" s="1910"/>
      <c r="BV121" s="1910"/>
      <c r="BW121" s="1910"/>
      <c r="BX121" s="1910"/>
      <c r="BY121" s="1911"/>
      <c r="BZ121" s="1910"/>
      <c r="CA121" s="1910"/>
      <c r="CB121" s="1912"/>
      <c r="CC121" s="1913"/>
      <c r="CD121" s="1913"/>
      <c r="CE121" s="2299"/>
      <c r="CF121"/>
      <c r="CG121" s="1908" t="s">
        <v>3559</v>
      </c>
      <c r="CH121" s="1902" t="s">
        <v>128</v>
      </c>
      <c r="CI121" s="1903" t="s">
        <v>129</v>
      </c>
      <c r="CJ121" s="2984">
        <f t="shared" si="59"/>
        <v>0</v>
      </c>
      <c r="CK121" s="2984">
        <f t="shared" si="59"/>
        <v>0</v>
      </c>
      <c r="CL121" s="2984">
        <f t="shared" si="59"/>
        <v>0</v>
      </c>
      <c r="CM121" s="2984">
        <f t="shared" si="59"/>
        <v>0</v>
      </c>
      <c r="CN121" s="2984">
        <f t="shared" si="59"/>
        <v>0</v>
      </c>
      <c r="CO121" s="2984">
        <f t="shared" si="59"/>
        <v>0</v>
      </c>
      <c r="CP121" s="2984">
        <f t="shared" si="59"/>
        <v>0</v>
      </c>
      <c r="CQ121" s="2985">
        <f t="shared" si="59"/>
        <v>0</v>
      </c>
      <c r="CR121" s="2984">
        <f t="shared" si="59"/>
        <v>0</v>
      </c>
      <c r="CS121" s="2984">
        <f t="shared" si="59"/>
        <v>0</v>
      </c>
      <c r="CT121" s="2986">
        <f t="shared" si="57"/>
        <v>0</v>
      </c>
      <c r="CU121" s="2987">
        <f t="shared" si="57"/>
        <v>0</v>
      </c>
      <c r="CV121" s="2987">
        <f t="shared" si="57"/>
        <v>0</v>
      </c>
      <c r="CW121" s="2445"/>
      <c r="CX121" s="1908" t="s">
        <v>3560</v>
      </c>
      <c r="CY121" s="1902" t="s">
        <v>128</v>
      </c>
      <c r="CZ121" s="1903" t="s">
        <v>129</v>
      </c>
      <c r="DA121" s="2988">
        <f t="shared" si="41"/>
        <v>0</v>
      </c>
      <c r="DB121" s="2988"/>
      <c r="DC121" s="2988"/>
      <c r="DD121" s="2988"/>
      <c r="DE121" s="2988"/>
      <c r="DF121" s="2988"/>
      <c r="DG121" s="2988"/>
      <c r="DH121" s="2989"/>
      <c r="DI121" s="2988"/>
      <c r="DJ121" s="2988"/>
      <c r="DK121" s="2990"/>
      <c r="DL121" s="2991"/>
      <c r="DM121" s="2991"/>
    </row>
    <row r="122" spans="1:117" s="1328" customFormat="1">
      <c r="A122"/>
      <c r="B122" s="1914" t="str">
        <f t="shared" si="53"/>
        <v>LR1</v>
      </c>
      <c r="C122" s="1918" t="str">
        <f t="shared" si="49"/>
        <v>エネルギー</v>
      </c>
      <c r="D122" s="2010" t="e">
        <f>IF(I$121=0,0,G122/I$121)</f>
        <v>#DIV/0!</v>
      </c>
      <c r="E122" s="1917">
        <f>IF(J$121=0,0,H122/J$121)</f>
        <v>0</v>
      </c>
      <c r="F122"/>
      <c r="G122" s="1917" t="e">
        <f t="shared" si="50"/>
        <v>#DIV/0!</v>
      </c>
      <c r="H122" s="1917">
        <f t="shared" si="51"/>
        <v>0</v>
      </c>
      <c r="I122" s="1917" t="e">
        <f>G123+G124+G129+G138</f>
        <v>#DIV/0!</v>
      </c>
      <c r="J122" s="1917">
        <f>H123+H124+H129+H138</f>
        <v>0</v>
      </c>
      <c r="K122" s="1917" t="e">
        <f>IF(スコア!V122=0,0,1)</f>
        <v>#DIV/0!</v>
      </c>
      <c r="L122" s="1917">
        <f>IF(スコア!T122=0,0,1)</f>
        <v>0</v>
      </c>
      <c r="M122" s="1917">
        <f t="shared" si="52"/>
        <v>0.4</v>
      </c>
      <c r="N122" s="1917">
        <f t="shared" si="61"/>
        <v>0</v>
      </c>
      <c r="O122"/>
      <c r="P122" s="1914" t="str">
        <f t="shared" si="56"/>
        <v>LR1</v>
      </c>
      <c r="Q122" s="1914" t="str">
        <f t="shared" si="56"/>
        <v>LR</v>
      </c>
      <c r="R122" s="1918" t="str">
        <f t="shared" si="56"/>
        <v>エネルギー</v>
      </c>
      <c r="S122" s="1919">
        <f t="shared" si="56"/>
        <v>0.4</v>
      </c>
      <c r="T122" s="1919">
        <f t="shared" si="56"/>
        <v>0.4</v>
      </c>
      <c r="U122" s="1919">
        <f t="shared" si="56"/>
        <v>0.4</v>
      </c>
      <c r="V122" s="1919">
        <f t="shared" si="54"/>
        <v>0.4</v>
      </c>
      <c r="W122" s="1919">
        <f t="shared" si="54"/>
        <v>0.4</v>
      </c>
      <c r="X122" s="1919">
        <f t="shared" si="54"/>
        <v>0.4</v>
      </c>
      <c r="Y122" s="1919">
        <f t="shared" si="54"/>
        <v>0.4</v>
      </c>
      <c r="Z122" s="1919">
        <f t="shared" si="55"/>
        <v>0.4</v>
      </c>
      <c r="AA122" s="1919">
        <f t="shared" si="55"/>
        <v>0.4</v>
      </c>
      <c r="AB122" s="1919">
        <f t="shared" si="55"/>
        <v>0.4</v>
      </c>
      <c r="AC122" s="1920">
        <f t="shared" si="55"/>
        <v>0</v>
      </c>
      <c r="AD122" s="1919">
        <f t="shared" si="55"/>
        <v>0</v>
      </c>
      <c r="AE122" s="1919">
        <f t="shared" si="55"/>
        <v>0</v>
      </c>
      <c r="AF122"/>
      <c r="AG122" s="1914" t="s">
        <v>1164</v>
      </c>
      <c r="AH122" s="1921" t="s">
        <v>1165</v>
      </c>
      <c r="AI122" s="1918" t="s">
        <v>1166</v>
      </c>
      <c r="AJ122" s="1922">
        <v>0.4</v>
      </c>
      <c r="AK122" s="1922">
        <v>0.4</v>
      </c>
      <c r="AL122" s="1922">
        <v>0.4</v>
      </c>
      <c r="AM122" s="1922">
        <v>0.4</v>
      </c>
      <c r="AN122" s="1922">
        <v>0.4</v>
      </c>
      <c r="AO122" s="1922">
        <v>0.4</v>
      </c>
      <c r="AP122" s="1922">
        <v>0.4</v>
      </c>
      <c r="AQ122" s="1922">
        <v>0.4</v>
      </c>
      <c r="AR122" s="1922">
        <v>0.4</v>
      </c>
      <c r="AS122" s="1922">
        <v>0.4</v>
      </c>
      <c r="AT122" s="1923"/>
      <c r="AU122" s="1922"/>
      <c r="AV122" s="1922"/>
      <c r="AW122"/>
      <c r="AX122" s="1914" t="s">
        <v>1164</v>
      </c>
      <c r="AY122" s="1921" t="s">
        <v>1165</v>
      </c>
      <c r="AZ122" s="1918" t="s">
        <v>1166</v>
      </c>
      <c r="BA122" s="1922">
        <v>0.4</v>
      </c>
      <c r="BB122" s="1922">
        <v>0.4</v>
      </c>
      <c r="BC122" s="1922">
        <v>0.4</v>
      </c>
      <c r="BD122" s="1922">
        <v>0.4</v>
      </c>
      <c r="BE122" s="1922">
        <v>0.4</v>
      </c>
      <c r="BF122" s="1922">
        <v>0.4</v>
      </c>
      <c r="BG122" s="1922">
        <v>0.4</v>
      </c>
      <c r="BH122" s="1922">
        <v>0.4</v>
      </c>
      <c r="BI122" s="1922">
        <v>0.4</v>
      </c>
      <c r="BJ122" s="1922">
        <v>0.4</v>
      </c>
      <c r="BK122" s="1923"/>
      <c r="BL122" s="1922"/>
      <c r="BM122" s="1922"/>
      <c r="BN122"/>
      <c r="BO122" s="1914" t="s">
        <v>1455</v>
      </c>
      <c r="BP122" s="1921" t="s">
        <v>130</v>
      </c>
      <c r="BQ122" s="1918" t="s">
        <v>3657</v>
      </c>
      <c r="BR122" s="1922">
        <v>0.4</v>
      </c>
      <c r="BS122" s="1922">
        <v>0.4</v>
      </c>
      <c r="BT122" s="1922">
        <v>0.4</v>
      </c>
      <c r="BU122" s="1922">
        <v>0.4</v>
      </c>
      <c r="BV122" s="1922">
        <v>0.4</v>
      </c>
      <c r="BW122" s="1922">
        <v>0.4</v>
      </c>
      <c r="BX122" s="1922">
        <v>0.4</v>
      </c>
      <c r="BY122" s="1922">
        <v>0.4</v>
      </c>
      <c r="BZ122" s="1922">
        <v>0.4</v>
      </c>
      <c r="CA122" s="1922">
        <v>0.4</v>
      </c>
      <c r="CB122" s="1923"/>
      <c r="CC122" s="1922"/>
      <c r="CD122" s="1922"/>
      <c r="CE122" s="2300"/>
      <c r="CF122"/>
      <c r="CG122" s="1914" t="s">
        <v>3561</v>
      </c>
      <c r="CH122" s="1921" t="s">
        <v>3562</v>
      </c>
      <c r="CI122" s="1918" t="s">
        <v>3563</v>
      </c>
      <c r="CJ122" s="2932">
        <v>0.2</v>
      </c>
      <c r="CK122" s="2932">
        <v>0.2</v>
      </c>
      <c r="CL122" s="2932">
        <v>0.2</v>
      </c>
      <c r="CM122" s="2932">
        <v>0.2</v>
      </c>
      <c r="CN122" s="2932">
        <v>0.2</v>
      </c>
      <c r="CO122" s="2932">
        <v>0.2</v>
      </c>
      <c r="CP122" s="2932">
        <v>0.2</v>
      </c>
      <c r="CQ122" s="2932">
        <v>0.2</v>
      </c>
      <c r="CR122" s="2932">
        <v>0.2</v>
      </c>
      <c r="CS122" s="2932">
        <v>0.2</v>
      </c>
      <c r="CT122" s="2936">
        <f t="shared" si="57"/>
        <v>0</v>
      </c>
      <c r="CU122" s="2932">
        <f t="shared" si="57"/>
        <v>0</v>
      </c>
      <c r="CV122" s="2932">
        <f t="shared" si="57"/>
        <v>0</v>
      </c>
      <c r="CW122" s="2445"/>
      <c r="CX122" s="1914" t="s">
        <v>3564</v>
      </c>
      <c r="CY122" s="1921" t="s">
        <v>3565</v>
      </c>
      <c r="CZ122" s="1918" t="s">
        <v>3563</v>
      </c>
      <c r="DA122" s="2935">
        <v>0.55000000000000004</v>
      </c>
      <c r="DB122" s="2932"/>
      <c r="DC122" s="2932"/>
      <c r="DD122" s="2932"/>
      <c r="DE122" s="2932"/>
      <c r="DF122" s="2932"/>
      <c r="DG122" s="2932"/>
      <c r="DH122" s="2932"/>
      <c r="DI122" s="2932"/>
      <c r="DJ122" s="2932"/>
      <c r="DK122" s="2936"/>
      <c r="DL122" s="2932"/>
      <c r="DM122" s="2932"/>
    </row>
    <row r="123" spans="1:117" s="1328" customFormat="1">
      <c r="A123"/>
      <c r="B123" s="1914">
        <f t="shared" si="53"/>
        <v>1</v>
      </c>
      <c r="C123" s="1929" t="str">
        <f t="shared" si="49"/>
        <v>建物外皮の熱負荷抑制</v>
      </c>
      <c r="D123" s="1925" t="e">
        <f>IF(I$122=0,0,G123/I$122)</f>
        <v>#DIV/0!</v>
      </c>
      <c r="E123" s="1926">
        <f>IF(J$122=0,0,H123/J$122)</f>
        <v>0</v>
      </c>
      <c r="F123"/>
      <c r="G123" s="1926">
        <f t="shared" si="50"/>
        <v>0.2</v>
      </c>
      <c r="H123" s="1926">
        <f t="shared" si="51"/>
        <v>0</v>
      </c>
      <c r="I123" s="1926"/>
      <c r="J123" s="1926"/>
      <c r="K123" s="1926">
        <f>IF(スコア!Q123=0,0,1)</f>
        <v>1</v>
      </c>
      <c r="L123" s="1926">
        <f>IF(スコア!T123=0,0,1)</f>
        <v>0</v>
      </c>
      <c r="M123" s="1926">
        <f t="shared" si="52"/>
        <v>0.2</v>
      </c>
      <c r="N123" s="1926">
        <f t="shared" si="61"/>
        <v>0</v>
      </c>
      <c r="O123"/>
      <c r="P123" s="2011">
        <f t="shared" si="56"/>
        <v>1</v>
      </c>
      <c r="Q123" s="1928" t="str">
        <f t="shared" si="56"/>
        <v>LR1</v>
      </c>
      <c r="R123" s="1929" t="str">
        <f t="shared" si="56"/>
        <v>建物外皮の熱負荷抑制</v>
      </c>
      <c r="S123" s="1987">
        <f t="shared" si="56"/>
        <v>0.2</v>
      </c>
      <c r="T123" s="1987">
        <f t="shared" si="56"/>
        <v>0.2</v>
      </c>
      <c r="U123" s="1987">
        <f t="shared" si="56"/>
        <v>0.2</v>
      </c>
      <c r="V123" s="1987">
        <f t="shared" si="54"/>
        <v>0.2</v>
      </c>
      <c r="W123" s="1987">
        <f t="shared" si="54"/>
        <v>0.2</v>
      </c>
      <c r="X123" s="1987">
        <f t="shared" si="54"/>
        <v>0.2</v>
      </c>
      <c r="Y123" s="1987">
        <f t="shared" si="54"/>
        <v>0.2</v>
      </c>
      <c r="Z123" s="1931">
        <f t="shared" si="55"/>
        <v>0.2</v>
      </c>
      <c r="AA123" s="1987">
        <f t="shared" si="55"/>
        <v>0</v>
      </c>
      <c r="AB123" s="1987">
        <f t="shared" si="55"/>
        <v>0.2</v>
      </c>
      <c r="AC123" s="1932">
        <f t="shared" si="55"/>
        <v>0</v>
      </c>
      <c r="AD123" s="1930">
        <f t="shared" si="55"/>
        <v>0</v>
      </c>
      <c r="AE123" s="1930">
        <f t="shared" si="55"/>
        <v>0</v>
      </c>
      <c r="AF123"/>
      <c r="AG123" s="2011">
        <v>1</v>
      </c>
      <c r="AH123" s="1933" t="s">
        <v>1455</v>
      </c>
      <c r="AI123" s="1929" t="s">
        <v>1792</v>
      </c>
      <c r="AJ123" s="1989">
        <v>0.2</v>
      </c>
      <c r="AK123" s="1989">
        <v>0.2</v>
      </c>
      <c r="AL123" s="1989">
        <v>0.2</v>
      </c>
      <c r="AM123" s="1989">
        <v>0.2</v>
      </c>
      <c r="AN123" s="1989">
        <v>0.2</v>
      </c>
      <c r="AO123" s="1989">
        <v>0.2</v>
      </c>
      <c r="AP123" s="1989">
        <v>0.2</v>
      </c>
      <c r="AQ123" s="1989">
        <v>0.2</v>
      </c>
      <c r="AR123" s="1989"/>
      <c r="AS123" s="1989">
        <v>0.2</v>
      </c>
      <c r="AT123" s="1935"/>
      <c r="AU123" s="1934"/>
      <c r="AV123" s="1934"/>
      <c r="AW123"/>
      <c r="AX123" s="2011">
        <v>1</v>
      </c>
      <c r="AY123" s="1933" t="s">
        <v>1455</v>
      </c>
      <c r="AZ123" s="1929" t="s">
        <v>1792</v>
      </c>
      <c r="BA123" s="1989">
        <v>0.2</v>
      </c>
      <c r="BB123" s="1989">
        <v>0.2</v>
      </c>
      <c r="BC123" s="1989">
        <v>0.2</v>
      </c>
      <c r="BD123" s="1989">
        <v>0.2</v>
      </c>
      <c r="BE123" s="1989">
        <v>0.2</v>
      </c>
      <c r="BF123" s="1989">
        <v>0.2</v>
      </c>
      <c r="BG123" s="1989">
        <v>0.2</v>
      </c>
      <c r="BH123" s="1989">
        <v>0.2</v>
      </c>
      <c r="BI123" s="1989"/>
      <c r="BJ123" s="1989">
        <v>0.2</v>
      </c>
      <c r="BK123" s="1935"/>
      <c r="BL123" s="1934"/>
      <c r="BM123" s="1934"/>
      <c r="BN123"/>
      <c r="BO123" s="2011">
        <v>1</v>
      </c>
      <c r="BP123" s="1933" t="s">
        <v>1455</v>
      </c>
      <c r="BQ123" s="1929" t="s">
        <v>3752</v>
      </c>
      <c r="BR123" s="1989">
        <v>0.2</v>
      </c>
      <c r="BS123" s="1989">
        <v>0.2</v>
      </c>
      <c r="BT123" s="1989">
        <v>0.2</v>
      </c>
      <c r="BU123" s="1989">
        <v>0.2</v>
      </c>
      <c r="BV123" s="1989">
        <v>0.2</v>
      </c>
      <c r="BW123" s="1989">
        <v>0.2</v>
      </c>
      <c r="BX123" s="1989">
        <v>0.2</v>
      </c>
      <c r="BY123" s="1989">
        <v>0.2</v>
      </c>
      <c r="BZ123" s="1989"/>
      <c r="CA123" s="1989">
        <v>0.2</v>
      </c>
      <c r="CB123" s="1935"/>
      <c r="CC123" s="1934"/>
      <c r="CD123" s="1934"/>
      <c r="CE123" s="2301"/>
      <c r="CF123"/>
      <c r="CG123" s="2011">
        <v>1</v>
      </c>
      <c r="CH123" s="1933" t="s">
        <v>1455</v>
      </c>
      <c r="CI123" s="1929" t="s">
        <v>1792</v>
      </c>
      <c r="CJ123" s="2992">
        <f t="shared" si="59"/>
        <v>0.2</v>
      </c>
      <c r="CK123" s="2992">
        <f t="shared" si="59"/>
        <v>0.2</v>
      </c>
      <c r="CL123" s="2992">
        <f t="shared" si="59"/>
        <v>0.2</v>
      </c>
      <c r="CM123" s="2992">
        <f t="shared" si="59"/>
        <v>0.2</v>
      </c>
      <c r="CN123" s="2992">
        <f t="shared" si="59"/>
        <v>0.2</v>
      </c>
      <c r="CO123" s="2992">
        <f t="shared" si="59"/>
        <v>0.2</v>
      </c>
      <c r="CP123" s="2992">
        <f t="shared" si="59"/>
        <v>0.2</v>
      </c>
      <c r="CQ123" s="2992">
        <f t="shared" si="59"/>
        <v>0.2</v>
      </c>
      <c r="CR123" s="2992">
        <f t="shared" si="59"/>
        <v>0</v>
      </c>
      <c r="CS123" s="2992">
        <f t="shared" si="59"/>
        <v>0.2</v>
      </c>
      <c r="CT123" s="2939">
        <f t="shared" si="57"/>
        <v>0</v>
      </c>
      <c r="CU123" s="2937">
        <f t="shared" si="57"/>
        <v>0</v>
      </c>
      <c r="CV123" s="2937">
        <f t="shared" si="57"/>
        <v>0</v>
      </c>
      <c r="CW123" s="2445"/>
      <c r="CX123" s="2011">
        <v>1</v>
      </c>
      <c r="CY123" s="1933" t="s">
        <v>1455</v>
      </c>
      <c r="CZ123" s="1929" t="s">
        <v>1792</v>
      </c>
      <c r="DA123" s="2964">
        <f t="shared" si="41"/>
        <v>0.2</v>
      </c>
      <c r="DB123" s="2964"/>
      <c r="DC123" s="2964"/>
      <c r="DD123" s="2964"/>
      <c r="DE123" s="2964"/>
      <c r="DF123" s="2964"/>
      <c r="DG123" s="2964"/>
      <c r="DH123" s="2964"/>
      <c r="DI123" s="2964"/>
      <c r="DJ123" s="2964"/>
      <c r="DK123" s="2942"/>
      <c r="DL123" s="2940"/>
      <c r="DM123" s="2940"/>
    </row>
    <row r="124" spans="1:117" s="1328" customFormat="1">
      <c r="A124"/>
      <c r="B124" s="1914">
        <f t="shared" si="53"/>
        <v>2</v>
      </c>
      <c r="C124" s="1929" t="str">
        <f t="shared" si="49"/>
        <v>自然エネルギー利用</v>
      </c>
      <c r="D124" s="1925" t="e">
        <f>IF(I$122=0,0,G124/I$122)</f>
        <v>#DIV/0!</v>
      </c>
      <c r="E124" s="1926">
        <f>IF(J$122=0,0,H124/J$122)</f>
        <v>0</v>
      </c>
      <c r="F124"/>
      <c r="G124" s="1926">
        <f>K124*M124</f>
        <v>0.1</v>
      </c>
      <c r="H124" s="1926">
        <f t="shared" si="51"/>
        <v>0</v>
      </c>
      <c r="I124" s="2012">
        <f>SUM(G125:G126)</f>
        <v>0</v>
      </c>
      <c r="J124" s="2012">
        <f>SUM(H125:H126)</f>
        <v>0</v>
      </c>
      <c r="K124" s="1926">
        <f>IF(スコア!Q124=0,0,1)</f>
        <v>1</v>
      </c>
      <c r="L124" s="1926">
        <f>IF(スコア!T124=0,0,1)</f>
        <v>0</v>
      </c>
      <c r="M124" s="1926">
        <f t="shared" si="52"/>
        <v>0.1</v>
      </c>
      <c r="N124" s="1926">
        <f t="shared" si="61"/>
        <v>0</v>
      </c>
      <c r="O124"/>
      <c r="P124" s="1928">
        <f t="shared" si="56"/>
        <v>2</v>
      </c>
      <c r="Q124" s="1928" t="str">
        <f t="shared" si="56"/>
        <v>LR1</v>
      </c>
      <c r="R124" s="1929" t="str">
        <f t="shared" si="56"/>
        <v>自然エネルギー利用</v>
      </c>
      <c r="S124" s="1987">
        <f t="shared" si="56"/>
        <v>0.1</v>
      </c>
      <c r="T124" s="1987">
        <f t="shared" si="56"/>
        <v>0.1</v>
      </c>
      <c r="U124" s="1987">
        <f t="shared" si="56"/>
        <v>0.1</v>
      </c>
      <c r="V124" s="1987">
        <f t="shared" si="54"/>
        <v>0.1</v>
      </c>
      <c r="W124" s="1987">
        <f t="shared" si="54"/>
        <v>0.1</v>
      </c>
      <c r="X124" s="1987">
        <f t="shared" si="54"/>
        <v>0.1</v>
      </c>
      <c r="Y124" s="1987">
        <f t="shared" si="54"/>
        <v>0.1</v>
      </c>
      <c r="Z124" s="1931">
        <f t="shared" si="55"/>
        <v>0.1</v>
      </c>
      <c r="AA124" s="1987">
        <f t="shared" si="55"/>
        <v>0.125</v>
      </c>
      <c r="AB124" s="1987">
        <f t="shared" si="55"/>
        <v>0.1</v>
      </c>
      <c r="AC124" s="1932">
        <f t="shared" si="55"/>
        <v>0</v>
      </c>
      <c r="AD124" s="1930">
        <f t="shared" si="55"/>
        <v>0</v>
      </c>
      <c r="AE124" s="1930">
        <f t="shared" si="55"/>
        <v>0</v>
      </c>
      <c r="AF124"/>
      <c r="AG124" s="1928">
        <v>2</v>
      </c>
      <c r="AH124" s="1933" t="s">
        <v>1455</v>
      </c>
      <c r="AI124" s="1929" t="s">
        <v>1036</v>
      </c>
      <c r="AJ124" s="1989">
        <v>0.1</v>
      </c>
      <c r="AK124" s="1989">
        <v>0.1</v>
      </c>
      <c r="AL124" s="1989">
        <v>0.1</v>
      </c>
      <c r="AM124" s="1989">
        <v>0.1</v>
      </c>
      <c r="AN124" s="1989">
        <v>0.1</v>
      </c>
      <c r="AO124" s="1989">
        <v>0.1</v>
      </c>
      <c r="AP124" s="1989">
        <v>0.1</v>
      </c>
      <c r="AQ124" s="1989">
        <v>0.1</v>
      </c>
      <c r="AR124" s="2149">
        <v>0.125</v>
      </c>
      <c r="AS124" s="1989">
        <v>0.1</v>
      </c>
      <c r="AT124" s="1935"/>
      <c r="AU124" s="1934"/>
      <c r="AV124" s="1934"/>
      <c r="AW124"/>
      <c r="AX124" s="1928">
        <v>2</v>
      </c>
      <c r="AY124" s="1933" t="s">
        <v>1455</v>
      </c>
      <c r="AZ124" s="1929" t="s">
        <v>1036</v>
      </c>
      <c r="BA124" s="1989">
        <v>0.1</v>
      </c>
      <c r="BB124" s="1989">
        <v>0.1</v>
      </c>
      <c r="BC124" s="1989">
        <v>0.1</v>
      </c>
      <c r="BD124" s="1989">
        <v>0.1</v>
      </c>
      <c r="BE124" s="1989">
        <v>0.1</v>
      </c>
      <c r="BF124" s="1989">
        <v>0.1</v>
      </c>
      <c r="BG124" s="1989">
        <v>0.1</v>
      </c>
      <c r="BH124" s="1989">
        <v>0.1</v>
      </c>
      <c r="BI124" s="2149">
        <v>0.125</v>
      </c>
      <c r="BJ124" s="1989">
        <v>0.1</v>
      </c>
      <c r="BK124" s="1935"/>
      <c r="BL124" s="1934"/>
      <c r="BM124" s="1934"/>
      <c r="BN124"/>
      <c r="BO124" s="1928">
        <v>2</v>
      </c>
      <c r="BP124" s="1933" t="s">
        <v>1455</v>
      </c>
      <c r="BQ124" s="1929" t="s">
        <v>3753</v>
      </c>
      <c r="BR124" s="1989">
        <v>0.1</v>
      </c>
      <c r="BS124" s="1989">
        <v>0.1</v>
      </c>
      <c r="BT124" s="1989">
        <v>0.1</v>
      </c>
      <c r="BU124" s="1989">
        <v>0.1</v>
      </c>
      <c r="BV124" s="1989">
        <v>0.1</v>
      </c>
      <c r="BW124" s="1989">
        <v>0.1</v>
      </c>
      <c r="BX124" s="1989">
        <v>0.1</v>
      </c>
      <c r="BY124" s="1989">
        <v>0.1</v>
      </c>
      <c r="BZ124" s="2149">
        <v>0.125</v>
      </c>
      <c r="CA124" s="1989">
        <v>0.1</v>
      </c>
      <c r="CB124" s="1935"/>
      <c r="CC124" s="1934"/>
      <c r="CD124" s="1934"/>
      <c r="CE124" s="2301"/>
      <c r="CF124"/>
      <c r="CG124" s="1928">
        <v>2</v>
      </c>
      <c r="CH124" s="1933" t="s">
        <v>1455</v>
      </c>
      <c r="CI124" s="1929" t="s">
        <v>1036</v>
      </c>
      <c r="CJ124" s="2992">
        <f t="shared" si="59"/>
        <v>0.1</v>
      </c>
      <c r="CK124" s="2992">
        <f t="shared" si="59"/>
        <v>0.1</v>
      </c>
      <c r="CL124" s="2992">
        <f t="shared" si="59"/>
        <v>0.1</v>
      </c>
      <c r="CM124" s="2992">
        <f t="shared" si="59"/>
        <v>0.1</v>
      </c>
      <c r="CN124" s="2992">
        <f t="shared" si="59"/>
        <v>0.1</v>
      </c>
      <c r="CO124" s="2992">
        <f t="shared" si="59"/>
        <v>0.1</v>
      </c>
      <c r="CP124" s="2992">
        <f t="shared" si="59"/>
        <v>0.1</v>
      </c>
      <c r="CQ124" s="2992">
        <f t="shared" si="59"/>
        <v>0.1</v>
      </c>
      <c r="CR124" s="2992">
        <f t="shared" si="59"/>
        <v>0.125</v>
      </c>
      <c r="CS124" s="2992">
        <f t="shared" si="59"/>
        <v>0.1</v>
      </c>
      <c r="CT124" s="2939">
        <f t="shared" si="57"/>
        <v>0</v>
      </c>
      <c r="CU124" s="2937">
        <f t="shared" si="57"/>
        <v>0</v>
      </c>
      <c r="CV124" s="2937">
        <f t="shared" si="57"/>
        <v>0</v>
      </c>
      <c r="CW124" s="2445"/>
      <c r="CX124" s="1928">
        <v>2</v>
      </c>
      <c r="CY124" s="1933" t="s">
        <v>1455</v>
      </c>
      <c r="CZ124" s="1929" t="s">
        <v>1036</v>
      </c>
      <c r="DA124" s="2964">
        <f t="shared" si="41"/>
        <v>0.1</v>
      </c>
      <c r="DB124" s="2964"/>
      <c r="DC124" s="2964"/>
      <c r="DD124" s="2964"/>
      <c r="DE124" s="2964"/>
      <c r="DF124" s="2964"/>
      <c r="DG124" s="2964"/>
      <c r="DH124" s="2964"/>
      <c r="DI124" s="2964"/>
      <c r="DJ124" s="2964"/>
      <c r="DK124" s="2942"/>
      <c r="DL124" s="2940"/>
      <c r="DM124" s="2940"/>
    </row>
    <row r="125" spans="1:117" s="1328" customFormat="1" hidden="1">
      <c r="A125"/>
      <c r="B125" s="1914">
        <f t="shared" si="53"/>
        <v>0</v>
      </c>
      <c r="C125" s="1929">
        <f t="shared" si="49"/>
        <v>0</v>
      </c>
      <c r="D125" s="1938">
        <f>IF(I$124=0,0,G125/I$124)</f>
        <v>0</v>
      </c>
      <c r="E125" s="1938">
        <f>IF(J$124=0,0,H125/J$124)</f>
        <v>0</v>
      </c>
      <c r="F125"/>
      <c r="G125" s="1926">
        <f t="shared" si="50"/>
        <v>0</v>
      </c>
      <c r="H125" s="1926">
        <f t="shared" si="51"/>
        <v>0</v>
      </c>
      <c r="I125" s="1926"/>
      <c r="J125" s="1926"/>
      <c r="K125" s="1939">
        <f>IF(スコア!Q125=0,0,1)</f>
        <v>0</v>
      </c>
      <c r="L125" s="1939">
        <f>IF(スコア!T125=0,0,1)</f>
        <v>0</v>
      </c>
      <c r="M125" s="1939">
        <f t="shared" si="52"/>
        <v>0</v>
      </c>
      <c r="N125" s="1939">
        <f t="shared" si="61"/>
        <v>0</v>
      </c>
      <c r="O125"/>
      <c r="P125" s="1928">
        <f t="shared" si="56"/>
        <v>0</v>
      </c>
      <c r="Q125" s="1928" t="str">
        <f t="shared" si="56"/>
        <v>LR</v>
      </c>
      <c r="R125" s="1929">
        <f t="shared" si="56"/>
        <v>0</v>
      </c>
      <c r="S125" s="1942">
        <f t="shared" si="56"/>
        <v>0</v>
      </c>
      <c r="T125" s="1942">
        <f t="shared" si="56"/>
        <v>0</v>
      </c>
      <c r="U125" s="1942">
        <f t="shared" si="56"/>
        <v>0</v>
      </c>
      <c r="V125" s="1942">
        <f t="shared" si="54"/>
        <v>0</v>
      </c>
      <c r="W125" s="1942">
        <f t="shared" si="54"/>
        <v>0</v>
      </c>
      <c r="X125" s="1942">
        <f t="shared" si="54"/>
        <v>0</v>
      </c>
      <c r="Y125" s="1942">
        <f t="shared" si="54"/>
        <v>0</v>
      </c>
      <c r="Z125" s="1951">
        <f t="shared" si="55"/>
        <v>0</v>
      </c>
      <c r="AA125" s="1942">
        <f t="shared" si="55"/>
        <v>0</v>
      </c>
      <c r="AB125" s="1942">
        <f t="shared" si="55"/>
        <v>0</v>
      </c>
      <c r="AC125" s="1932">
        <f t="shared" si="55"/>
        <v>0</v>
      </c>
      <c r="AD125" s="1930">
        <f t="shared" si="55"/>
        <v>0</v>
      </c>
      <c r="AE125" s="1930">
        <f t="shared" si="55"/>
        <v>0</v>
      </c>
      <c r="AF125"/>
      <c r="AG125" s="1928"/>
      <c r="AH125" s="1933" t="s">
        <v>130</v>
      </c>
      <c r="AI125" s="1929" t="s">
        <v>1037</v>
      </c>
      <c r="AJ125" s="1989"/>
      <c r="AK125" s="1989"/>
      <c r="AL125" s="1989"/>
      <c r="AM125" s="1989"/>
      <c r="AN125" s="1989"/>
      <c r="AO125" s="1989"/>
      <c r="AP125" s="1989"/>
      <c r="AQ125" s="1989"/>
      <c r="AR125" s="1989"/>
      <c r="AS125" s="1989"/>
      <c r="AT125" s="1935"/>
      <c r="AU125" s="1934"/>
      <c r="AV125" s="1934"/>
      <c r="AW125"/>
      <c r="AX125" s="1928"/>
      <c r="AY125" s="1933" t="s">
        <v>130</v>
      </c>
      <c r="AZ125" s="1929" t="s">
        <v>825</v>
      </c>
      <c r="BA125" s="1989"/>
      <c r="BB125" s="1989"/>
      <c r="BC125" s="1989"/>
      <c r="BD125" s="1989"/>
      <c r="BE125" s="1989"/>
      <c r="BF125" s="1989"/>
      <c r="BG125" s="1989"/>
      <c r="BH125" s="1989"/>
      <c r="BI125" s="1989"/>
      <c r="BJ125" s="1989"/>
      <c r="BK125" s="1935"/>
      <c r="BL125" s="1934"/>
      <c r="BM125" s="1934"/>
      <c r="BN125"/>
      <c r="BO125" s="1928"/>
      <c r="BP125" s="1933" t="s">
        <v>130</v>
      </c>
      <c r="BQ125" s="1929"/>
      <c r="BR125" s="1989"/>
      <c r="BS125" s="1989"/>
      <c r="BT125" s="1989"/>
      <c r="BU125" s="1989"/>
      <c r="BV125" s="1989"/>
      <c r="BW125" s="1989"/>
      <c r="BX125" s="1989"/>
      <c r="BY125" s="1989"/>
      <c r="BZ125" s="1989"/>
      <c r="CA125" s="1989"/>
      <c r="CB125" s="1935"/>
      <c r="CC125" s="1934"/>
      <c r="CD125" s="1934"/>
      <c r="CE125" s="2301"/>
      <c r="CF125"/>
      <c r="CG125" s="1928"/>
      <c r="CH125" s="1933" t="s">
        <v>130</v>
      </c>
      <c r="CI125" s="1929"/>
      <c r="CJ125" s="2992">
        <f t="shared" si="59"/>
        <v>0</v>
      </c>
      <c r="CK125" s="2992">
        <f t="shared" si="59"/>
        <v>0</v>
      </c>
      <c r="CL125" s="2992">
        <f t="shared" si="59"/>
        <v>0</v>
      </c>
      <c r="CM125" s="2992">
        <f t="shared" si="59"/>
        <v>0</v>
      </c>
      <c r="CN125" s="2992">
        <f t="shared" si="59"/>
        <v>0</v>
      </c>
      <c r="CO125" s="2992">
        <f t="shared" si="59"/>
        <v>0</v>
      </c>
      <c r="CP125" s="2992">
        <f t="shared" si="59"/>
        <v>0</v>
      </c>
      <c r="CQ125" s="2992">
        <f t="shared" si="59"/>
        <v>0</v>
      </c>
      <c r="CR125" s="2992">
        <f t="shared" si="59"/>
        <v>0</v>
      </c>
      <c r="CS125" s="2992">
        <f t="shared" si="59"/>
        <v>0</v>
      </c>
      <c r="CT125" s="2939">
        <f t="shared" si="57"/>
        <v>0</v>
      </c>
      <c r="CU125" s="2937">
        <f t="shared" si="57"/>
        <v>0</v>
      </c>
      <c r="CV125" s="2937">
        <f t="shared" si="57"/>
        <v>0</v>
      </c>
      <c r="CW125" s="2445"/>
      <c r="CX125" s="1928"/>
      <c r="CY125" s="1933" t="s">
        <v>130</v>
      </c>
      <c r="CZ125" s="1929"/>
      <c r="DA125" s="2964">
        <f t="shared" si="41"/>
        <v>0</v>
      </c>
      <c r="DB125" s="2964"/>
      <c r="DC125" s="2964"/>
      <c r="DD125" s="2964"/>
      <c r="DE125" s="2964"/>
      <c r="DF125" s="2964"/>
      <c r="DG125" s="2964"/>
      <c r="DH125" s="2964"/>
      <c r="DI125" s="2964"/>
      <c r="DJ125" s="2964"/>
      <c r="DK125" s="2942"/>
      <c r="DL125" s="2940"/>
      <c r="DM125" s="2940"/>
    </row>
    <row r="126" spans="1:117" s="1328" customFormat="1" hidden="1">
      <c r="A126"/>
      <c r="B126" s="1914">
        <f t="shared" si="53"/>
        <v>0</v>
      </c>
      <c r="C126" s="1929">
        <f t="shared" si="49"/>
        <v>0</v>
      </c>
      <c r="D126" s="1938">
        <f>IF(I$124=0,0,G126/I$124)</f>
        <v>0</v>
      </c>
      <c r="E126" s="1938">
        <f>IF(J$124=0,0,H126/J$124)</f>
        <v>0</v>
      </c>
      <c r="F126"/>
      <c r="G126" s="1926">
        <f t="shared" si="50"/>
        <v>0</v>
      </c>
      <c r="H126" s="1926">
        <f t="shared" si="51"/>
        <v>0</v>
      </c>
      <c r="I126" s="2012">
        <f>SUM(G127:G128)</f>
        <v>0</v>
      </c>
      <c r="J126" s="2012">
        <f>SUM(H127:H128)</f>
        <v>0</v>
      </c>
      <c r="K126" s="1939">
        <f>IF(スコア!Q126=0,0,1)</f>
        <v>0</v>
      </c>
      <c r="L126" s="1939">
        <f>IF(スコア!T126=0,0,1)</f>
        <v>0</v>
      </c>
      <c r="M126" s="1939">
        <f t="shared" si="52"/>
        <v>0</v>
      </c>
      <c r="N126" s="1939">
        <f t="shared" si="61"/>
        <v>0</v>
      </c>
      <c r="O126"/>
      <c r="P126" s="1928">
        <f t="shared" si="56"/>
        <v>0</v>
      </c>
      <c r="Q126" s="1928" t="str">
        <f t="shared" si="56"/>
        <v>LR</v>
      </c>
      <c r="R126" s="1929">
        <f t="shared" si="56"/>
        <v>0</v>
      </c>
      <c r="S126" s="1942">
        <f t="shared" si="56"/>
        <v>0</v>
      </c>
      <c r="T126" s="1942">
        <f t="shared" si="56"/>
        <v>0</v>
      </c>
      <c r="U126" s="1942">
        <f t="shared" si="56"/>
        <v>0</v>
      </c>
      <c r="V126" s="1942">
        <f t="shared" si="54"/>
        <v>0</v>
      </c>
      <c r="W126" s="1942">
        <f t="shared" si="54"/>
        <v>0</v>
      </c>
      <c r="X126" s="1942">
        <f t="shared" si="54"/>
        <v>0</v>
      </c>
      <c r="Y126" s="1942">
        <f t="shared" si="54"/>
        <v>0</v>
      </c>
      <c r="Z126" s="1951">
        <f t="shared" si="55"/>
        <v>0</v>
      </c>
      <c r="AA126" s="1942">
        <f t="shared" si="55"/>
        <v>0</v>
      </c>
      <c r="AB126" s="1942">
        <f t="shared" si="55"/>
        <v>0</v>
      </c>
      <c r="AC126" s="1932">
        <f t="shared" si="55"/>
        <v>0</v>
      </c>
      <c r="AD126" s="1930">
        <f t="shared" si="55"/>
        <v>0</v>
      </c>
      <c r="AE126" s="1930">
        <f t="shared" si="55"/>
        <v>0</v>
      </c>
      <c r="AF126"/>
      <c r="AG126" s="1928"/>
      <c r="AH126" s="1933" t="s">
        <v>130</v>
      </c>
      <c r="AI126" s="1929" t="s">
        <v>1038</v>
      </c>
      <c r="AJ126" s="1989"/>
      <c r="AK126" s="1989"/>
      <c r="AL126" s="1989"/>
      <c r="AM126" s="1989"/>
      <c r="AN126" s="1989"/>
      <c r="AO126" s="1989"/>
      <c r="AP126" s="1989"/>
      <c r="AQ126" s="1989"/>
      <c r="AR126" s="1989"/>
      <c r="AS126" s="1989"/>
      <c r="AT126" s="1935"/>
      <c r="AU126" s="1934"/>
      <c r="AV126" s="1934"/>
      <c r="AW126"/>
      <c r="AX126" s="1928"/>
      <c r="AY126" s="1933" t="s">
        <v>130</v>
      </c>
      <c r="AZ126" s="1929" t="s">
        <v>824</v>
      </c>
      <c r="BA126" s="1989">
        <v>1</v>
      </c>
      <c r="BB126" s="1989">
        <v>1</v>
      </c>
      <c r="BC126" s="1989">
        <v>1</v>
      </c>
      <c r="BD126" s="1989">
        <v>1</v>
      </c>
      <c r="BE126" s="1989">
        <v>1</v>
      </c>
      <c r="BF126" s="1989">
        <v>1</v>
      </c>
      <c r="BG126" s="1989">
        <v>1</v>
      </c>
      <c r="BH126" s="1989">
        <v>1</v>
      </c>
      <c r="BI126" s="1989">
        <v>1</v>
      </c>
      <c r="BJ126" s="1989">
        <v>1</v>
      </c>
      <c r="BK126" s="1935"/>
      <c r="BL126" s="1934"/>
      <c r="BM126" s="1934"/>
      <c r="BN126"/>
      <c r="BO126" s="1928"/>
      <c r="BP126" s="1933" t="s">
        <v>130</v>
      </c>
      <c r="BQ126" s="1929"/>
      <c r="BR126" s="1989"/>
      <c r="BS126" s="1989"/>
      <c r="BT126" s="1989"/>
      <c r="BU126" s="1989"/>
      <c r="BV126" s="1989"/>
      <c r="BW126" s="1989"/>
      <c r="BX126" s="1989"/>
      <c r="BY126" s="1989"/>
      <c r="BZ126" s="1989"/>
      <c r="CA126" s="1989"/>
      <c r="CB126" s="1935"/>
      <c r="CC126" s="1934"/>
      <c r="CD126" s="1934"/>
      <c r="CE126" s="2301"/>
      <c r="CF126"/>
      <c r="CG126" s="1928"/>
      <c r="CH126" s="1933" t="s">
        <v>130</v>
      </c>
      <c r="CI126" s="1929"/>
      <c r="CJ126" s="2992">
        <f t="shared" si="59"/>
        <v>0</v>
      </c>
      <c r="CK126" s="2992">
        <f t="shared" si="59"/>
        <v>0</v>
      </c>
      <c r="CL126" s="2992">
        <f t="shared" si="59"/>
        <v>0</v>
      </c>
      <c r="CM126" s="2992">
        <f t="shared" si="59"/>
        <v>0</v>
      </c>
      <c r="CN126" s="2992">
        <f t="shared" si="59"/>
        <v>0</v>
      </c>
      <c r="CO126" s="2992">
        <f t="shared" si="59"/>
        <v>0</v>
      </c>
      <c r="CP126" s="2992">
        <f t="shared" si="59"/>
        <v>0</v>
      </c>
      <c r="CQ126" s="2992">
        <f t="shared" si="59"/>
        <v>0</v>
      </c>
      <c r="CR126" s="2992">
        <f t="shared" si="59"/>
        <v>0</v>
      </c>
      <c r="CS126" s="2992">
        <f t="shared" si="59"/>
        <v>0</v>
      </c>
      <c r="CT126" s="2939">
        <f t="shared" si="57"/>
        <v>0</v>
      </c>
      <c r="CU126" s="2937">
        <f t="shared" si="57"/>
        <v>0</v>
      </c>
      <c r="CV126" s="2937">
        <f t="shared" si="57"/>
        <v>0</v>
      </c>
      <c r="CW126" s="2445"/>
      <c r="CX126" s="1928"/>
      <c r="CY126" s="1933" t="s">
        <v>130</v>
      </c>
      <c r="CZ126" s="1929"/>
      <c r="DA126" s="2964">
        <f t="shared" si="41"/>
        <v>0</v>
      </c>
      <c r="DB126" s="2964"/>
      <c r="DC126" s="2964"/>
      <c r="DD126" s="2964"/>
      <c r="DE126" s="2964"/>
      <c r="DF126" s="2964"/>
      <c r="DG126" s="2964"/>
      <c r="DH126" s="2964"/>
      <c r="DI126" s="2964"/>
      <c r="DJ126" s="2964"/>
      <c r="DK126" s="2942"/>
      <c r="DL126" s="2940"/>
      <c r="DM126" s="2940"/>
    </row>
    <row r="127" spans="1:117" hidden="1">
      <c r="B127" s="1914" t="str">
        <f t="shared" si="53"/>
        <v>2.1</v>
      </c>
      <c r="C127" s="1941">
        <f t="shared" si="49"/>
        <v>0</v>
      </c>
      <c r="D127" s="1938">
        <f>IF(I$126=0,0,G127/I$126)</f>
        <v>0</v>
      </c>
      <c r="E127" s="1938">
        <f>IF(J$126=0,0,H127/J$126)</f>
        <v>0</v>
      </c>
      <c r="G127" s="1939">
        <f t="shared" si="50"/>
        <v>0</v>
      </c>
      <c r="H127" s="1939">
        <f t="shared" si="51"/>
        <v>0</v>
      </c>
      <c r="I127" s="1939"/>
      <c r="J127" s="1939"/>
      <c r="K127" s="1939">
        <f>IF(スコア!Q127=0,0,1)</f>
        <v>0</v>
      </c>
      <c r="L127" s="1939">
        <f>IF(スコア!T127=0,0,1)</f>
        <v>0</v>
      </c>
      <c r="M127" s="1939">
        <f t="shared" si="52"/>
        <v>0</v>
      </c>
      <c r="N127" s="1939">
        <f t="shared" si="61"/>
        <v>0</v>
      </c>
      <c r="P127" s="1940" t="str">
        <f t="shared" si="56"/>
        <v>2.1</v>
      </c>
      <c r="Q127" s="1940" t="str">
        <f t="shared" si="56"/>
        <v>LR1 2</v>
      </c>
      <c r="R127" s="1941">
        <f t="shared" si="56"/>
        <v>0</v>
      </c>
      <c r="S127" s="1942">
        <f t="shared" si="56"/>
        <v>0</v>
      </c>
      <c r="T127" s="1942">
        <f t="shared" si="56"/>
        <v>0</v>
      </c>
      <c r="U127" s="1942">
        <f t="shared" si="56"/>
        <v>0</v>
      </c>
      <c r="V127" s="1942">
        <f t="shared" si="54"/>
        <v>0</v>
      </c>
      <c r="W127" s="1942">
        <f t="shared" si="54"/>
        <v>0</v>
      </c>
      <c r="X127" s="1942">
        <f t="shared" si="54"/>
        <v>0</v>
      </c>
      <c r="Y127" s="1942">
        <f t="shared" si="54"/>
        <v>0</v>
      </c>
      <c r="Z127" s="1951">
        <f t="shared" si="55"/>
        <v>0</v>
      </c>
      <c r="AA127" s="1942">
        <f t="shared" si="55"/>
        <v>0</v>
      </c>
      <c r="AB127" s="1942">
        <f t="shared" si="55"/>
        <v>0</v>
      </c>
      <c r="AC127" s="2001">
        <f t="shared" si="55"/>
        <v>0</v>
      </c>
      <c r="AD127" s="2000">
        <f t="shared" si="55"/>
        <v>0</v>
      </c>
      <c r="AE127" s="2000">
        <f t="shared" si="55"/>
        <v>0</v>
      </c>
      <c r="AG127" s="1940" t="s">
        <v>1167</v>
      </c>
      <c r="AH127" s="1944" t="s">
        <v>131</v>
      </c>
      <c r="AI127" s="1941" t="s">
        <v>1039</v>
      </c>
      <c r="AJ127" s="1947"/>
      <c r="AK127" s="1947"/>
      <c r="AL127" s="1947"/>
      <c r="AM127" s="1947"/>
      <c r="AN127" s="1947"/>
      <c r="AO127" s="1947"/>
      <c r="AP127" s="1947"/>
      <c r="AQ127" s="1947"/>
      <c r="AR127" s="1947"/>
      <c r="AS127" s="1947"/>
      <c r="AT127" s="2003"/>
      <c r="AU127" s="2002"/>
      <c r="AV127" s="2002"/>
      <c r="AX127" s="1940" t="s">
        <v>1167</v>
      </c>
      <c r="AY127" s="1944" t="s">
        <v>131</v>
      </c>
      <c r="AZ127" s="1941" t="s">
        <v>1039</v>
      </c>
      <c r="BA127" s="1947"/>
      <c r="BB127" s="1947"/>
      <c r="BC127" s="1947"/>
      <c r="BD127" s="1947"/>
      <c r="BE127" s="1947"/>
      <c r="BF127" s="1947"/>
      <c r="BG127" s="1947"/>
      <c r="BH127" s="1947"/>
      <c r="BI127" s="1947"/>
      <c r="BJ127" s="1947"/>
      <c r="BK127" s="2003"/>
      <c r="BL127" s="2002"/>
      <c r="BM127" s="2002"/>
      <c r="BO127" s="1940" t="s">
        <v>3710</v>
      </c>
      <c r="BP127" s="1944" t="s">
        <v>131</v>
      </c>
      <c r="BQ127" s="1941"/>
      <c r="BR127" s="1947"/>
      <c r="BS127" s="1947"/>
      <c r="BT127" s="1947"/>
      <c r="BU127" s="1947"/>
      <c r="BV127" s="1947"/>
      <c r="BW127" s="1947"/>
      <c r="BX127" s="1947"/>
      <c r="BY127" s="1947"/>
      <c r="BZ127" s="1947"/>
      <c r="CA127" s="1947"/>
      <c r="CB127" s="2003"/>
      <c r="CC127" s="2002"/>
      <c r="CD127" s="2002"/>
      <c r="CE127" s="2305"/>
      <c r="CG127" s="1940" t="s">
        <v>3566</v>
      </c>
      <c r="CH127" s="1944" t="s">
        <v>131</v>
      </c>
      <c r="CI127" s="1941"/>
      <c r="CJ127" s="2943">
        <f t="shared" si="59"/>
        <v>0</v>
      </c>
      <c r="CK127" s="2943">
        <f t="shared" si="59"/>
        <v>0</v>
      </c>
      <c r="CL127" s="2943">
        <f t="shared" si="59"/>
        <v>0</v>
      </c>
      <c r="CM127" s="2943">
        <f t="shared" si="59"/>
        <v>0</v>
      </c>
      <c r="CN127" s="2943">
        <f t="shared" si="59"/>
        <v>0</v>
      </c>
      <c r="CO127" s="2943">
        <f t="shared" si="59"/>
        <v>0</v>
      </c>
      <c r="CP127" s="2943">
        <f t="shared" si="59"/>
        <v>0</v>
      </c>
      <c r="CQ127" s="2943">
        <f t="shared" si="59"/>
        <v>0</v>
      </c>
      <c r="CR127" s="2943">
        <f t="shared" si="59"/>
        <v>0</v>
      </c>
      <c r="CS127" s="2943">
        <f t="shared" si="59"/>
        <v>0</v>
      </c>
      <c r="CT127" s="2980">
        <f t="shared" si="57"/>
        <v>0</v>
      </c>
      <c r="CU127" s="2979">
        <f t="shared" si="57"/>
        <v>0</v>
      </c>
      <c r="CV127" s="2979">
        <f t="shared" si="57"/>
        <v>0</v>
      </c>
      <c r="CW127" s="2445"/>
      <c r="CX127" s="1940" t="s">
        <v>3566</v>
      </c>
      <c r="CY127" s="1944" t="s">
        <v>131</v>
      </c>
      <c r="CZ127" s="1941"/>
      <c r="DA127" s="2945">
        <f t="shared" si="41"/>
        <v>0</v>
      </c>
      <c r="DB127" s="2945"/>
      <c r="DC127" s="2945"/>
      <c r="DD127" s="2945"/>
      <c r="DE127" s="2945"/>
      <c r="DF127" s="2945"/>
      <c r="DG127" s="2945"/>
      <c r="DH127" s="2945"/>
      <c r="DI127" s="2945"/>
      <c r="DJ127" s="2945"/>
      <c r="DK127" s="2983"/>
      <c r="DL127" s="2982"/>
      <c r="DM127" s="2982"/>
    </row>
    <row r="128" spans="1:117" hidden="1">
      <c r="B128" s="1914" t="str">
        <f t="shared" si="53"/>
        <v>2.2</v>
      </c>
      <c r="C128" s="1941">
        <f t="shared" si="49"/>
        <v>0</v>
      </c>
      <c r="D128" s="1938">
        <f>IF(I$126=0,0,G128/I$126)</f>
        <v>0</v>
      </c>
      <c r="E128" s="1938">
        <f>IF(J$126=0,0,H128/J$126)</f>
        <v>0</v>
      </c>
      <c r="G128" s="1939">
        <f t="shared" si="50"/>
        <v>0</v>
      </c>
      <c r="H128" s="1939">
        <f t="shared" si="51"/>
        <v>0</v>
      </c>
      <c r="I128" s="1939"/>
      <c r="J128" s="1939"/>
      <c r="K128" s="1939">
        <f>IF(スコア!Q128=0,0,1)</f>
        <v>0</v>
      </c>
      <c r="L128" s="1939">
        <f>IF(スコア!T128=0,0,1)</f>
        <v>0</v>
      </c>
      <c r="M128" s="1939">
        <f t="shared" si="52"/>
        <v>0</v>
      </c>
      <c r="N128" s="1939">
        <f t="shared" si="61"/>
        <v>0</v>
      </c>
      <c r="P128" s="1940" t="str">
        <f t="shared" si="56"/>
        <v>2.2</v>
      </c>
      <c r="Q128" s="1940" t="str">
        <f t="shared" si="56"/>
        <v>LR1 2</v>
      </c>
      <c r="R128" s="1941">
        <f t="shared" si="56"/>
        <v>0</v>
      </c>
      <c r="S128" s="1942">
        <f t="shared" si="56"/>
        <v>0</v>
      </c>
      <c r="T128" s="1942">
        <f t="shared" si="56"/>
        <v>0</v>
      </c>
      <c r="U128" s="1942">
        <f t="shared" si="56"/>
        <v>0</v>
      </c>
      <c r="V128" s="1942">
        <f t="shared" si="54"/>
        <v>0</v>
      </c>
      <c r="W128" s="1942">
        <f t="shared" si="54"/>
        <v>0</v>
      </c>
      <c r="X128" s="1942">
        <f t="shared" si="54"/>
        <v>0</v>
      </c>
      <c r="Y128" s="1942">
        <f t="shared" si="54"/>
        <v>0</v>
      </c>
      <c r="Z128" s="1951">
        <f t="shared" si="55"/>
        <v>0</v>
      </c>
      <c r="AA128" s="1942">
        <f t="shared" si="55"/>
        <v>0</v>
      </c>
      <c r="AB128" s="1942">
        <f t="shared" si="55"/>
        <v>0</v>
      </c>
      <c r="AC128" s="2001">
        <f t="shared" si="55"/>
        <v>0</v>
      </c>
      <c r="AD128" s="2000">
        <f t="shared" si="55"/>
        <v>0</v>
      </c>
      <c r="AE128" s="2000">
        <f t="shared" si="55"/>
        <v>0</v>
      </c>
      <c r="AG128" s="1940" t="s">
        <v>1168</v>
      </c>
      <c r="AH128" s="1944" t="s">
        <v>131</v>
      </c>
      <c r="AI128" s="1941" t="s">
        <v>1040</v>
      </c>
      <c r="AJ128" s="1947"/>
      <c r="AK128" s="1947"/>
      <c r="AL128" s="1947"/>
      <c r="AM128" s="1947"/>
      <c r="AN128" s="1947"/>
      <c r="AO128" s="1947"/>
      <c r="AP128" s="1947"/>
      <c r="AQ128" s="1947"/>
      <c r="AR128" s="1947"/>
      <c r="AS128" s="1947"/>
      <c r="AT128" s="2003"/>
      <c r="AU128" s="2002"/>
      <c r="AV128" s="2002"/>
      <c r="AX128" s="1940" t="s">
        <v>1168</v>
      </c>
      <c r="AY128" s="1944" t="s">
        <v>131</v>
      </c>
      <c r="AZ128" s="1941" t="s">
        <v>1040</v>
      </c>
      <c r="BA128" s="1947"/>
      <c r="BB128" s="1947"/>
      <c r="BC128" s="1947"/>
      <c r="BD128" s="1947"/>
      <c r="BE128" s="1947"/>
      <c r="BF128" s="1947"/>
      <c r="BG128" s="1947"/>
      <c r="BH128" s="1947"/>
      <c r="BI128" s="1947"/>
      <c r="BJ128" s="1947"/>
      <c r="BK128" s="2003"/>
      <c r="BL128" s="2002"/>
      <c r="BM128" s="2002"/>
      <c r="BO128" s="1940" t="s">
        <v>3711</v>
      </c>
      <c r="BP128" s="1944" t="s">
        <v>131</v>
      </c>
      <c r="BQ128" s="1941"/>
      <c r="BR128" s="1947"/>
      <c r="BS128" s="1947"/>
      <c r="BT128" s="1947"/>
      <c r="BU128" s="1947"/>
      <c r="BV128" s="1947"/>
      <c r="BW128" s="1947"/>
      <c r="BX128" s="1947"/>
      <c r="BY128" s="1947"/>
      <c r="BZ128" s="1947"/>
      <c r="CA128" s="1947"/>
      <c r="CB128" s="2003"/>
      <c r="CC128" s="2002"/>
      <c r="CD128" s="2002"/>
      <c r="CE128" s="2305"/>
      <c r="CG128" s="1940" t="s">
        <v>3567</v>
      </c>
      <c r="CH128" s="1944" t="s">
        <v>131</v>
      </c>
      <c r="CI128" s="1941"/>
      <c r="CJ128" s="2943">
        <f t="shared" si="59"/>
        <v>0</v>
      </c>
      <c r="CK128" s="2943">
        <f t="shared" si="59"/>
        <v>0</v>
      </c>
      <c r="CL128" s="2943">
        <f t="shared" si="59"/>
        <v>0</v>
      </c>
      <c r="CM128" s="2943">
        <f t="shared" si="59"/>
        <v>0</v>
      </c>
      <c r="CN128" s="2943">
        <f t="shared" si="59"/>
        <v>0</v>
      </c>
      <c r="CO128" s="2943">
        <f t="shared" si="59"/>
        <v>0</v>
      </c>
      <c r="CP128" s="2943">
        <f t="shared" si="59"/>
        <v>0</v>
      </c>
      <c r="CQ128" s="2943">
        <f t="shared" si="59"/>
        <v>0</v>
      </c>
      <c r="CR128" s="2943">
        <f t="shared" si="59"/>
        <v>0</v>
      </c>
      <c r="CS128" s="2943">
        <f t="shared" si="59"/>
        <v>0</v>
      </c>
      <c r="CT128" s="2980">
        <f t="shared" si="57"/>
        <v>0</v>
      </c>
      <c r="CU128" s="2979">
        <f t="shared" si="57"/>
        <v>0</v>
      </c>
      <c r="CV128" s="2979">
        <f t="shared" si="57"/>
        <v>0</v>
      </c>
      <c r="CW128" s="2445"/>
      <c r="CX128" s="1940" t="s">
        <v>3567</v>
      </c>
      <c r="CY128" s="1944" t="s">
        <v>131</v>
      </c>
      <c r="CZ128" s="1941"/>
      <c r="DA128" s="2945">
        <f t="shared" si="41"/>
        <v>0</v>
      </c>
      <c r="DB128" s="2945"/>
      <c r="DC128" s="2945"/>
      <c r="DD128" s="2945"/>
      <c r="DE128" s="2945"/>
      <c r="DF128" s="2945"/>
      <c r="DG128" s="2945"/>
      <c r="DH128" s="2945"/>
      <c r="DI128" s="2945"/>
      <c r="DJ128" s="2945"/>
      <c r="DK128" s="2983"/>
      <c r="DL128" s="2982"/>
      <c r="DM128" s="2982"/>
    </row>
    <row r="129" spans="1:117" s="1328" customFormat="1">
      <c r="A129"/>
      <c r="B129" s="1914">
        <f t="shared" si="53"/>
        <v>3</v>
      </c>
      <c r="C129" s="1929" t="str">
        <f t="shared" si="49"/>
        <v>設備システムの高効率化</v>
      </c>
      <c r="D129" s="1925" t="e">
        <f>IF(I$122=0,0,G129/I$122)</f>
        <v>#DIV/0!</v>
      </c>
      <c r="E129" s="1926">
        <f>IF(J$122=0,0,H129/J$122)</f>
        <v>0</v>
      </c>
      <c r="F129"/>
      <c r="G129" s="1926" t="e">
        <f t="shared" si="50"/>
        <v>#DIV/0!</v>
      </c>
      <c r="H129" s="1926">
        <f t="shared" si="51"/>
        <v>0</v>
      </c>
      <c r="I129" s="2012">
        <f>SUM(G130:G131)</f>
        <v>0</v>
      </c>
      <c r="J129" s="2012">
        <f>SUM(H130:H131)</f>
        <v>0</v>
      </c>
      <c r="K129" s="1926" t="e">
        <f>IF(スコア!Q129=0,0,1)</f>
        <v>#DIV/0!</v>
      </c>
      <c r="L129" s="1926">
        <f>IF(スコア!T129=0,0,1)</f>
        <v>0</v>
      </c>
      <c r="M129" s="1926">
        <f t="shared" si="52"/>
        <v>0.5</v>
      </c>
      <c r="N129" s="1926">
        <f t="shared" si="61"/>
        <v>0</v>
      </c>
      <c r="O129"/>
      <c r="P129" s="1928">
        <f t="shared" si="56"/>
        <v>3</v>
      </c>
      <c r="Q129" s="1928" t="str">
        <f t="shared" si="56"/>
        <v>LR1</v>
      </c>
      <c r="R129" s="1929" t="str">
        <f t="shared" si="56"/>
        <v>設備システムの高効率化</v>
      </c>
      <c r="S129" s="1987">
        <f t="shared" si="56"/>
        <v>0.5</v>
      </c>
      <c r="T129" s="1987">
        <f t="shared" si="56"/>
        <v>0.5</v>
      </c>
      <c r="U129" s="1987">
        <f t="shared" si="56"/>
        <v>0.5</v>
      </c>
      <c r="V129" s="1987">
        <f t="shared" si="54"/>
        <v>0.5</v>
      </c>
      <c r="W129" s="1987">
        <f t="shared" si="54"/>
        <v>0.5</v>
      </c>
      <c r="X129" s="1987">
        <f t="shared" si="54"/>
        <v>0.5</v>
      </c>
      <c r="Y129" s="1987">
        <f t="shared" si="54"/>
        <v>0.5</v>
      </c>
      <c r="Z129" s="1931">
        <f t="shared" si="55"/>
        <v>0.5</v>
      </c>
      <c r="AA129" s="1987">
        <f t="shared" si="55"/>
        <v>0.625</v>
      </c>
      <c r="AB129" s="1987">
        <f t="shared" si="55"/>
        <v>0.5</v>
      </c>
      <c r="AC129" s="1932">
        <f t="shared" si="55"/>
        <v>0</v>
      </c>
      <c r="AD129" s="1930">
        <f t="shared" si="55"/>
        <v>0</v>
      </c>
      <c r="AE129" s="1930">
        <f t="shared" si="55"/>
        <v>0</v>
      </c>
      <c r="AF129"/>
      <c r="AG129" s="1928">
        <v>3</v>
      </c>
      <c r="AH129" s="1933" t="s">
        <v>1455</v>
      </c>
      <c r="AI129" s="1929" t="s">
        <v>1041</v>
      </c>
      <c r="AJ129" s="1989">
        <v>0.5</v>
      </c>
      <c r="AK129" s="1989">
        <v>0.5</v>
      </c>
      <c r="AL129" s="1989">
        <v>0.5</v>
      </c>
      <c r="AM129" s="1989">
        <v>0.5</v>
      </c>
      <c r="AN129" s="1989">
        <v>0.5</v>
      </c>
      <c r="AO129" s="1989">
        <v>0.5</v>
      </c>
      <c r="AP129" s="1989">
        <v>0.5</v>
      </c>
      <c r="AQ129" s="1989">
        <v>0.5</v>
      </c>
      <c r="AR129" s="2149">
        <v>0.625</v>
      </c>
      <c r="AS129" s="1989">
        <v>0.5</v>
      </c>
      <c r="AT129" s="1935"/>
      <c r="AU129" s="1934"/>
      <c r="AV129" s="1934"/>
      <c r="AW129"/>
      <c r="AX129" s="1928">
        <v>3</v>
      </c>
      <c r="AY129" s="1933" t="s">
        <v>1455</v>
      </c>
      <c r="AZ129" s="1929" t="s">
        <v>1041</v>
      </c>
      <c r="BA129" s="1989">
        <v>0.5</v>
      </c>
      <c r="BB129" s="1989">
        <v>0.5</v>
      </c>
      <c r="BC129" s="1989">
        <v>0.5</v>
      </c>
      <c r="BD129" s="1989">
        <v>0.5</v>
      </c>
      <c r="BE129" s="1989">
        <v>0.5</v>
      </c>
      <c r="BF129" s="1989">
        <v>0.5</v>
      </c>
      <c r="BG129" s="1989">
        <v>0.5</v>
      </c>
      <c r="BH129" s="1989">
        <v>0.5</v>
      </c>
      <c r="BI129" s="2149">
        <v>0.625</v>
      </c>
      <c r="BJ129" s="1989">
        <v>0.5</v>
      </c>
      <c r="BK129" s="1935"/>
      <c r="BL129" s="1934"/>
      <c r="BM129" s="1934"/>
      <c r="BN129"/>
      <c r="BO129" s="1928">
        <v>3</v>
      </c>
      <c r="BP129" s="1933" t="s">
        <v>1455</v>
      </c>
      <c r="BQ129" s="1929" t="s">
        <v>3754</v>
      </c>
      <c r="BR129" s="1989">
        <v>0.5</v>
      </c>
      <c r="BS129" s="1989">
        <v>0.5</v>
      </c>
      <c r="BT129" s="1989">
        <v>0.5</v>
      </c>
      <c r="BU129" s="1989">
        <v>0.5</v>
      </c>
      <c r="BV129" s="1989">
        <v>0.5</v>
      </c>
      <c r="BW129" s="1989">
        <v>0.5</v>
      </c>
      <c r="BX129" s="1989">
        <v>0.5</v>
      </c>
      <c r="BY129" s="1989">
        <v>0.5</v>
      </c>
      <c r="BZ129" s="2149">
        <v>0.625</v>
      </c>
      <c r="CA129" s="1989">
        <v>0.5</v>
      </c>
      <c r="CB129" s="1935"/>
      <c r="CC129" s="1934"/>
      <c r="CD129" s="1934"/>
      <c r="CE129" s="2301"/>
      <c r="CF129"/>
      <c r="CG129" s="1928">
        <v>3</v>
      </c>
      <c r="CH129" s="1933" t="s">
        <v>1455</v>
      </c>
      <c r="CI129" s="1929" t="s">
        <v>1041</v>
      </c>
      <c r="CJ129" s="2992">
        <f t="shared" si="59"/>
        <v>0.5</v>
      </c>
      <c r="CK129" s="2992">
        <f t="shared" si="59"/>
        <v>0.5</v>
      </c>
      <c r="CL129" s="2992">
        <f t="shared" si="59"/>
        <v>0.5</v>
      </c>
      <c r="CM129" s="2992">
        <f t="shared" si="59"/>
        <v>0.5</v>
      </c>
      <c r="CN129" s="2992">
        <f t="shared" si="59"/>
        <v>0.5</v>
      </c>
      <c r="CO129" s="2992">
        <f t="shared" si="59"/>
        <v>0.5</v>
      </c>
      <c r="CP129" s="2992">
        <f t="shared" si="59"/>
        <v>0.5</v>
      </c>
      <c r="CQ129" s="2992">
        <f t="shared" si="59"/>
        <v>0.5</v>
      </c>
      <c r="CR129" s="2992">
        <f t="shared" si="59"/>
        <v>0.625</v>
      </c>
      <c r="CS129" s="2992">
        <f t="shared" si="59"/>
        <v>0.5</v>
      </c>
      <c r="CT129" s="2939">
        <f t="shared" si="57"/>
        <v>0</v>
      </c>
      <c r="CU129" s="2937">
        <f t="shared" si="57"/>
        <v>0</v>
      </c>
      <c r="CV129" s="2937">
        <f t="shared" si="57"/>
        <v>0</v>
      </c>
      <c r="CW129" s="2445"/>
      <c r="CX129" s="1928">
        <v>3</v>
      </c>
      <c r="CY129" s="1933" t="s">
        <v>1455</v>
      </c>
      <c r="CZ129" s="1929" t="s">
        <v>1041</v>
      </c>
      <c r="DA129" s="2964">
        <f t="shared" si="41"/>
        <v>0.5</v>
      </c>
      <c r="DB129" s="2964"/>
      <c r="DC129" s="2964"/>
      <c r="DD129" s="2964"/>
      <c r="DE129" s="2964"/>
      <c r="DF129" s="2964"/>
      <c r="DG129" s="2964"/>
      <c r="DH129" s="2964"/>
      <c r="DI129" s="2964"/>
      <c r="DJ129" s="2964"/>
      <c r="DK129" s="2942"/>
      <c r="DL129" s="2940"/>
      <c r="DM129" s="2940"/>
    </row>
    <row r="130" spans="1:117" s="1328" customFormat="1" hidden="1">
      <c r="A130"/>
      <c r="B130" s="1914" t="str">
        <f t="shared" si="53"/>
        <v>3a.3b</v>
      </c>
      <c r="C130" s="1929" t="str">
        <f t="shared" si="49"/>
        <v>非住宅部分</v>
      </c>
      <c r="D130" s="1925">
        <f>IF(I$129=0,0,G130/I$129)</f>
        <v>0</v>
      </c>
      <c r="E130" s="1926">
        <f>IF(J$129=0,0,H130/J$129)</f>
        <v>0</v>
      </c>
      <c r="F130"/>
      <c r="G130" s="1926">
        <f t="shared" si="50"/>
        <v>0</v>
      </c>
      <c r="H130" s="1926">
        <f t="shared" si="51"/>
        <v>0</v>
      </c>
      <c r="I130" s="1926"/>
      <c r="J130" s="1926"/>
      <c r="K130" s="1926">
        <f>IF(スコア!Q130=0,0,1)</f>
        <v>0</v>
      </c>
      <c r="L130" s="1926">
        <f>IF(スコア!T130=0,0,1)</f>
        <v>0</v>
      </c>
      <c r="M130" s="1926">
        <f>SUMPRODUCT($S$7:$AB$7,S130:AB130)</f>
        <v>0.98425196850393704</v>
      </c>
      <c r="N130" s="1926">
        <f t="shared" si="61"/>
        <v>0</v>
      </c>
      <c r="O130"/>
      <c r="P130" s="1928" t="str">
        <f t="shared" si="56"/>
        <v>3a.3b</v>
      </c>
      <c r="Q130" s="1928" t="str">
        <f t="shared" si="56"/>
        <v>LR1 3</v>
      </c>
      <c r="R130" s="1929" t="str">
        <f t="shared" si="56"/>
        <v>非住宅部分</v>
      </c>
      <c r="S130" s="1942">
        <f t="shared" si="56"/>
        <v>1</v>
      </c>
      <c r="T130" s="1942">
        <f t="shared" si="56"/>
        <v>1</v>
      </c>
      <c r="U130" s="1942">
        <f t="shared" si="56"/>
        <v>1</v>
      </c>
      <c r="V130" s="1942">
        <f t="shared" si="54"/>
        <v>1</v>
      </c>
      <c r="W130" s="1942">
        <f t="shared" si="54"/>
        <v>1</v>
      </c>
      <c r="X130" s="1942">
        <f t="shared" si="54"/>
        <v>1</v>
      </c>
      <c r="Y130" s="1942">
        <f t="shared" si="54"/>
        <v>0</v>
      </c>
      <c r="Z130" s="1951">
        <f t="shared" si="55"/>
        <v>1</v>
      </c>
      <c r="AA130" s="1942">
        <f t="shared" si="55"/>
        <v>1</v>
      </c>
      <c r="AB130" s="1942">
        <f t="shared" si="55"/>
        <v>1</v>
      </c>
      <c r="AC130" s="1932">
        <f t="shared" si="55"/>
        <v>0</v>
      </c>
      <c r="AD130" s="1930">
        <f t="shared" si="55"/>
        <v>0</v>
      </c>
      <c r="AE130" s="1930">
        <f t="shared" si="55"/>
        <v>0</v>
      </c>
      <c r="AF130"/>
      <c r="AG130" s="1928" t="s">
        <v>1169</v>
      </c>
      <c r="AH130" s="1933" t="s">
        <v>1170</v>
      </c>
      <c r="AI130" s="1929" t="s">
        <v>132</v>
      </c>
      <c r="AJ130" s="2077"/>
      <c r="AK130" s="2077"/>
      <c r="AL130" s="2077"/>
      <c r="AM130" s="2077"/>
      <c r="AN130" s="2077"/>
      <c r="AO130" s="2077"/>
      <c r="AP130" s="2078"/>
      <c r="AQ130" s="2077"/>
      <c r="AR130" s="2077"/>
      <c r="AS130" s="2078"/>
      <c r="AT130" s="1935"/>
      <c r="AU130" s="1934"/>
      <c r="AV130" s="1934"/>
      <c r="AW130"/>
      <c r="AX130" s="1928" t="s">
        <v>1169</v>
      </c>
      <c r="AY130" s="1933" t="s">
        <v>1170</v>
      </c>
      <c r="AZ130" s="1929" t="s">
        <v>832</v>
      </c>
      <c r="BA130" s="2078">
        <v>1</v>
      </c>
      <c r="BB130" s="2078">
        <v>1</v>
      </c>
      <c r="BC130" s="2078">
        <v>1</v>
      </c>
      <c r="BD130" s="2078">
        <v>1</v>
      </c>
      <c r="BE130" s="2078">
        <v>1</v>
      </c>
      <c r="BF130" s="2078">
        <v>1</v>
      </c>
      <c r="BG130" s="2078"/>
      <c r="BH130" s="2078">
        <v>1</v>
      </c>
      <c r="BI130" s="2078">
        <v>1</v>
      </c>
      <c r="BJ130" s="2078">
        <v>1</v>
      </c>
      <c r="BK130" s="1935"/>
      <c r="BL130" s="1934"/>
      <c r="BM130" s="1934"/>
      <c r="BN130"/>
      <c r="BO130" s="1928" t="s">
        <v>3712</v>
      </c>
      <c r="BP130" s="1933" t="s">
        <v>3713</v>
      </c>
      <c r="BQ130" s="1929" t="s">
        <v>3755</v>
      </c>
      <c r="BR130" s="2078">
        <v>1</v>
      </c>
      <c r="BS130" s="2078">
        <v>1</v>
      </c>
      <c r="BT130" s="2078">
        <v>1</v>
      </c>
      <c r="BU130" s="2078">
        <v>1</v>
      </c>
      <c r="BV130" s="2078">
        <v>1</v>
      </c>
      <c r="BW130" s="2078">
        <v>1</v>
      </c>
      <c r="BX130" s="2078"/>
      <c r="BY130" s="2078">
        <v>1</v>
      </c>
      <c r="BZ130" s="2078">
        <v>1</v>
      </c>
      <c r="CA130" s="2078">
        <v>1</v>
      </c>
      <c r="CB130" s="1935"/>
      <c r="CC130" s="1934"/>
      <c r="CD130" s="1934"/>
      <c r="CE130" s="2301"/>
      <c r="CF130"/>
      <c r="CG130" s="1928" t="s">
        <v>3568</v>
      </c>
      <c r="CH130" s="1933" t="s">
        <v>3569</v>
      </c>
      <c r="CI130" s="1929" t="s">
        <v>3570</v>
      </c>
      <c r="CJ130" s="2993">
        <f t="shared" si="59"/>
        <v>1</v>
      </c>
      <c r="CK130" s="2993">
        <f t="shared" si="59"/>
        <v>1</v>
      </c>
      <c r="CL130" s="2993">
        <f t="shared" si="59"/>
        <v>1</v>
      </c>
      <c r="CM130" s="2993">
        <f t="shared" si="59"/>
        <v>1</v>
      </c>
      <c r="CN130" s="2993">
        <f t="shared" si="59"/>
        <v>1</v>
      </c>
      <c r="CO130" s="2993">
        <f t="shared" si="59"/>
        <v>1</v>
      </c>
      <c r="CP130" s="2993">
        <f t="shared" si="59"/>
        <v>0</v>
      </c>
      <c r="CQ130" s="2993">
        <f t="shared" si="59"/>
        <v>1</v>
      </c>
      <c r="CR130" s="2993">
        <f t="shared" si="59"/>
        <v>1</v>
      </c>
      <c r="CS130" s="2993">
        <f t="shared" si="59"/>
        <v>1</v>
      </c>
      <c r="CT130" s="2939">
        <f t="shared" si="57"/>
        <v>0</v>
      </c>
      <c r="CU130" s="2937">
        <f t="shared" si="57"/>
        <v>0</v>
      </c>
      <c r="CV130" s="2937">
        <f t="shared" si="57"/>
        <v>0</v>
      </c>
      <c r="CW130" s="2445"/>
      <c r="CX130" s="1928" t="s">
        <v>3568</v>
      </c>
      <c r="CY130" s="1933" t="s">
        <v>3569</v>
      </c>
      <c r="CZ130" s="1929" t="s">
        <v>3570</v>
      </c>
      <c r="DA130" s="2965">
        <f t="shared" si="41"/>
        <v>1</v>
      </c>
      <c r="DB130" s="2965"/>
      <c r="DC130" s="2965"/>
      <c r="DD130" s="2965"/>
      <c r="DE130" s="2965"/>
      <c r="DF130" s="2965"/>
      <c r="DG130" s="2965"/>
      <c r="DH130" s="2965"/>
      <c r="DI130" s="2965"/>
      <c r="DJ130" s="2965"/>
      <c r="DK130" s="2942"/>
      <c r="DL130" s="2940"/>
      <c r="DM130" s="2940"/>
    </row>
    <row r="131" spans="1:117" s="1328" customFormat="1" hidden="1">
      <c r="A131"/>
      <c r="B131" s="1914" t="str">
        <f t="shared" si="53"/>
        <v>3b.c</v>
      </c>
      <c r="C131" s="1929" t="str">
        <f t="shared" si="49"/>
        <v>集合住宅の評価</v>
      </c>
      <c r="D131" s="1925">
        <f>IF(I$129=0,0,G131/I$129)</f>
        <v>0</v>
      </c>
      <c r="E131" s="1926">
        <f>IF(J$129=0,0,H131/J$129)</f>
        <v>0</v>
      </c>
      <c r="F131"/>
      <c r="G131" s="1926">
        <f t="shared" si="50"/>
        <v>0</v>
      </c>
      <c r="H131" s="1926">
        <f t="shared" si="51"/>
        <v>0</v>
      </c>
      <c r="I131" s="1926">
        <f>G132+G133+G134+G135+G136</f>
        <v>0</v>
      </c>
      <c r="J131" s="1926">
        <f>H132+H133+H134+H135+H136</f>
        <v>0</v>
      </c>
      <c r="K131" s="1926">
        <f>IF(スコア!Q131=0,0,1)</f>
        <v>0</v>
      </c>
      <c r="L131" s="1926">
        <f>IF(スコア!T131=0,0,1)</f>
        <v>0</v>
      </c>
      <c r="M131" s="1926">
        <f>SUMPRODUCT($S$7:$AB$7,S131:AB131)</f>
        <v>1.5748031496062992E-2</v>
      </c>
      <c r="N131" s="1926">
        <f t="shared" si="61"/>
        <v>0</v>
      </c>
      <c r="O131"/>
      <c r="P131" s="1928" t="str">
        <f t="shared" si="56"/>
        <v>3b.c</v>
      </c>
      <c r="Q131" s="1928" t="str">
        <f t="shared" si="56"/>
        <v>LR1 3</v>
      </c>
      <c r="R131" s="1929" t="str">
        <f t="shared" si="56"/>
        <v>集合住宅の評価</v>
      </c>
      <c r="S131" s="1942">
        <f t="shared" si="56"/>
        <v>0</v>
      </c>
      <c r="T131" s="1942">
        <f t="shared" si="56"/>
        <v>0</v>
      </c>
      <c r="U131" s="1942">
        <f t="shared" si="56"/>
        <v>0</v>
      </c>
      <c r="V131" s="1942">
        <f t="shared" si="54"/>
        <v>0</v>
      </c>
      <c r="W131" s="1942">
        <f t="shared" si="54"/>
        <v>0</v>
      </c>
      <c r="X131" s="1942">
        <f t="shared" si="54"/>
        <v>0</v>
      </c>
      <c r="Y131" s="1942">
        <f t="shared" si="54"/>
        <v>1</v>
      </c>
      <c r="Z131" s="1951">
        <f t="shared" si="55"/>
        <v>0</v>
      </c>
      <c r="AA131" s="1942">
        <f t="shared" si="55"/>
        <v>0</v>
      </c>
      <c r="AB131" s="1942">
        <f t="shared" si="55"/>
        <v>0</v>
      </c>
      <c r="AC131" s="1932">
        <f t="shared" si="55"/>
        <v>0</v>
      </c>
      <c r="AD131" s="1930">
        <f t="shared" si="55"/>
        <v>0</v>
      </c>
      <c r="AE131" s="1930">
        <f t="shared" si="55"/>
        <v>0</v>
      </c>
      <c r="AF131"/>
      <c r="AG131" s="1928" t="s">
        <v>1580</v>
      </c>
      <c r="AH131" s="1933" t="s">
        <v>1170</v>
      </c>
      <c r="AI131" s="1929" t="s">
        <v>133</v>
      </c>
      <c r="AJ131" s="2079"/>
      <c r="AK131" s="2079"/>
      <c r="AL131" s="2079"/>
      <c r="AM131" s="2079"/>
      <c r="AN131" s="2079"/>
      <c r="AO131" s="2079"/>
      <c r="AP131" s="2078"/>
      <c r="AQ131" s="2079"/>
      <c r="AR131" s="2079"/>
      <c r="AS131" s="2078"/>
      <c r="AT131" s="1935"/>
      <c r="AU131" s="1934"/>
      <c r="AV131" s="1934"/>
      <c r="AW131"/>
      <c r="AX131" s="1928" t="s">
        <v>1580</v>
      </c>
      <c r="AY131" s="1933" t="s">
        <v>1170</v>
      </c>
      <c r="AZ131" s="1929" t="s">
        <v>1303</v>
      </c>
      <c r="BA131" s="2079"/>
      <c r="BB131" s="2079"/>
      <c r="BC131" s="2079"/>
      <c r="BD131" s="2079"/>
      <c r="BE131" s="2079"/>
      <c r="BF131" s="2079"/>
      <c r="BG131" s="2078">
        <v>1</v>
      </c>
      <c r="BH131" s="2079"/>
      <c r="BI131" s="2079"/>
      <c r="BJ131" s="2078"/>
      <c r="BK131" s="1935"/>
      <c r="BL131" s="1934"/>
      <c r="BM131" s="1934"/>
      <c r="BN131"/>
      <c r="BO131" s="1928" t="s">
        <v>3714</v>
      </c>
      <c r="BP131" s="1933" t="s">
        <v>3713</v>
      </c>
      <c r="BQ131" s="1929" t="s">
        <v>3756</v>
      </c>
      <c r="BR131" s="2079"/>
      <c r="BS131" s="2079"/>
      <c r="BT131" s="2079"/>
      <c r="BU131" s="2079"/>
      <c r="BV131" s="2079"/>
      <c r="BW131" s="2079"/>
      <c r="BX131" s="2078">
        <v>1</v>
      </c>
      <c r="BY131" s="2079"/>
      <c r="BZ131" s="2079"/>
      <c r="CA131" s="2078"/>
      <c r="CB131" s="1935"/>
      <c r="CC131" s="1934"/>
      <c r="CD131" s="1934"/>
      <c r="CE131" s="2301"/>
      <c r="CF131"/>
      <c r="CG131" s="1928" t="s">
        <v>3571</v>
      </c>
      <c r="CH131" s="1933" t="s">
        <v>3569</v>
      </c>
      <c r="CI131" s="1929" t="s">
        <v>1303</v>
      </c>
      <c r="CJ131" s="2992">
        <f t="shared" si="59"/>
        <v>0</v>
      </c>
      <c r="CK131" s="2992">
        <f t="shared" si="59"/>
        <v>0</v>
      </c>
      <c r="CL131" s="2992">
        <f t="shared" si="59"/>
        <v>0</v>
      </c>
      <c r="CM131" s="2992">
        <f t="shared" si="59"/>
        <v>0</v>
      </c>
      <c r="CN131" s="2992">
        <f t="shared" si="59"/>
        <v>0</v>
      </c>
      <c r="CO131" s="2992">
        <f t="shared" si="59"/>
        <v>0</v>
      </c>
      <c r="CP131" s="2993">
        <f t="shared" si="59"/>
        <v>1</v>
      </c>
      <c r="CQ131" s="2992">
        <f t="shared" si="59"/>
        <v>0</v>
      </c>
      <c r="CR131" s="2992">
        <f t="shared" si="59"/>
        <v>0</v>
      </c>
      <c r="CS131" s="2993">
        <f t="shared" si="59"/>
        <v>0</v>
      </c>
      <c r="CT131" s="2939">
        <f t="shared" si="57"/>
        <v>0</v>
      </c>
      <c r="CU131" s="2937">
        <f t="shared" si="57"/>
        <v>0</v>
      </c>
      <c r="CV131" s="2937">
        <f t="shared" si="57"/>
        <v>0</v>
      </c>
      <c r="CW131" s="2445"/>
      <c r="CX131" s="1928" t="s">
        <v>3571</v>
      </c>
      <c r="CY131" s="1933" t="s">
        <v>3569</v>
      </c>
      <c r="CZ131" s="1929" t="s">
        <v>1303</v>
      </c>
      <c r="DA131" s="2964">
        <f t="shared" si="41"/>
        <v>0</v>
      </c>
      <c r="DB131" s="2964"/>
      <c r="DC131" s="2964"/>
      <c r="DD131" s="2964"/>
      <c r="DE131" s="2964"/>
      <c r="DF131" s="2964"/>
      <c r="DG131" s="2965"/>
      <c r="DH131" s="2964"/>
      <c r="DI131" s="2964"/>
      <c r="DJ131" s="2965"/>
      <c r="DK131" s="2942"/>
      <c r="DL131" s="2940"/>
      <c r="DM131" s="2940"/>
    </row>
    <row r="132" spans="1:117" hidden="1">
      <c r="B132" s="1914">
        <f t="shared" si="53"/>
        <v>3.1</v>
      </c>
      <c r="C132" s="1941" t="str">
        <f t="shared" si="49"/>
        <v>空調設備</v>
      </c>
      <c r="D132" s="1938">
        <f t="shared" ref="D132:E136" si="62">IF(I$131=0,0,G132/I$131)</f>
        <v>0</v>
      </c>
      <c r="E132" s="1939">
        <f t="shared" si="62"/>
        <v>0</v>
      </c>
      <c r="G132" s="1939">
        <f t="shared" si="50"/>
        <v>0</v>
      </c>
      <c r="H132" s="1939">
        <f t="shared" si="51"/>
        <v>0</v>
      </c>
      <c r="I132" s="1939"/>
      <c r="J132" s="1939"/>
      <c r="K132" s="1939">
        <f>IF(スコア!Q132=0,0,1)</f>
        <v>0</v>
      </c>
      <c r="L132" s="1939">
        <f>IF(スコア!T132=0,0,1)</f>
        <v>0</v>
      </c>
      <c r="M132" s="1939">
        <f t="shared" si="52"/>
        <v>0</v>
      </c>
      <c r="N132" s="1939">
        <f t="shared" si="61"/>
        <v>0</v>
      </c>
      <c r="P132" s="1940">
        <f t="shared" si="56"/>
        <v>3.1</v>
      </c>
      <c r="Q132" s="1940" t="str">
        <f t="shared" si="56"/>
        <v>LR1 3b</v>
      </c>
      <c r="R132" s="1941" t="str">
        <f t="shared" si="56"/>
        <v>空調設備</v>
      </c>
      <c r="S132" s="1942">
        <f t="shared" si="56"/>
        <v>0</v>
      </c>
      <c r="T132" s="1942">
        <f t="shared" si="56"/>
        <v>0</v>
      </c>
      <c r="U132" s="1942">
        <f t="shared" si="56"/>
        <v>0</v>
      </c>
      <c r="V132" s="1942">
        <f t="shared" si="54"/>
        <v>0</v>
      </c>
      <c r="W132" s="1942">
        <f t="shared" si="54"/>
        <v>0</v>
      </c>
      <c r="X132" s="1942">
        <f t="shared" si="54"/>
        <v>0</v>
      </c>
      <c r="Y132" s="1942">
        <f t="shared" si="54"/>
        <v>0</v>
      </c>
      <c r="Z132" s="1951">
        <f t="shared" si="55"/>
        <v>0</v>
      </c>
      <c r="AA132" s="1942">
        <f t="shared" si="55"/>
        <v>0</v>
      </c>
      <c r="AB132" s="1942">
        <f t="shared" si="55"/>
        <v>0</v>
      </c>
      <c r="AC132" s="1943">
        <f t="shared" si="55"/>
        <v>0</v>
      </c>
      <c r="AD132" s="1942">
        <f t="shared" si="55"/>
        <v>0</v>
      </c>
      <c r="AE132" s="1942">
        <f t="shared" si="55"/>
        <v>0</v>
      </c>
      <c r="AG132" s="1940">
        <v>3.1</v>
      </c>
      <c r="AH132" s="1944" t="s">
        <v>1171</v>
      </c>
      <c r="AI132" s="1941" t="s">
        <v>1042</v>
      </c>
      <c r="AJ132" s="1947"/>
      <c r="AK132" s="1947"/>
      <c r="AL132" s="1947"/>
      <c r="AM132" s="1947"/>
      <c r="AN132" s="1947"/>
      <c r="AO132" s="1947"/>
      <c r="AP132" s="1947"/>
      <c r="AQ132" s="1954"/>
      <c r="AR132" s="1947"/>
      <c r="AS132" s="2150">
        <v>0.65</v>
      </c>
      <c r="AT132" s="1948"/>
      <c r="AU132" s="1947"/>
      <c r="AV132" s="1947"/>
      <c r="AX132" s="1940">
        <v>3.1</v>
      </c>
      <c r="AY132" s="1944" t="s">
        <v>1171</v>
      </c>
      <c r="AZ132" s="1941" t="s">
        <v>1042</v>
      </c>
      <c r="BA132" s="1947"/>
      <c r="BB132" s="1947"/>
      <c r="BC132" s="1947"/>
      <c r="BD132" s="1947"/>
      <c r="BE132" s="1947"/>
      <c r="BF132" s="1947"/>
      <c r="BG132" s="1947"/>
      <c r="BH132" s="1954"/>
      <c r="BI132" s="1947"/>
      <c r="BJ132" s="2150">
        <v>0.65</v>
      </c>
      <c r="BK132" s="1948"/>
      <c r="BL132" s="1947"/>
      <c r="BM132" s="1947"/>
      <c r="BO132" s="1940">
        <v>3.1</v>
      </c>
      <c r="BP132" s="1944" t="s">
        <v>3715</v>
      </c>
      <c r="BQ132" s="1941" t="s">
        <v>1042</v>
      </c>
      <c r="BR132" s="1947"/>
      <c r="BS132" s="1947"/>
      <c r="BT132" s="1947"/>
      <c r="BU132" s="1947"/>
      <c r="BV132" s="1947"/>
      <c r="BW132" s="1947"/>
      <c r="BX132" s="1947"/>
      <c r="BY132" s="1954"/>
      <c r="BZ132" s="1947"/>
      <c r="CA132" s="1947"/>
      <c r="CB132" s="1948"/>
      <c r="CC132" s="1947"/>
      <c r="CD132" s="1947"/>
      <c r="CE132" s="2302"/>
      <c r="CF132">
        <f>ROWS($CF$5:CF131)</f>
        <v>127</v>
      </c>
      <c r="CG132" s="1940">
        <v>3.1</v>
      </c>
      <c r="CH132" s="1944" t="s">
        <v>3572</v>
      </c>
      <c r="CI132" s="1941"/>
      <c r="CJ132" s="2943">
        <f t="shared" si="59"/>
        <v>0</v>
      </c>
      <c r="CK132" s="2943">
        <f t="shared" si="59"/>
        <v>0</v>
      </c>
      <c r="CL132" s="2943">
        <f t="shared" si="59"/>
        <v>0</v>
      </c>
      <c r="CM132" s="2943">
        <f t="shared" si="59"/>
        <v>0</v>
      </c>
      <c r="CN132" s="2943">
        <f t="shared" si="59"/>
        <v>0</v>
      </c>
      <c r="CO132" s="2943">
        <f t="shared" si="59"/>
        <v>0</v>
      </c>
      <c r="CP132" s="2943">
        <f t="shared" si="59"/>
        <v>0</v>
      </c>
      <c r="CQ132" s="2967">
        <f t="shared" si="59"/>
        <v>0</v>
      </c>
      <c r="CR132" s="2943">
        <f t="shared" si="59"/>
        <v>0</v>
      </c>
      <c r="CS132" s="2943">
        <f t="shared" si="59"/>
        <v>0</v>
      </c>
      <c r="CT132" s="2947">
        <f t="shared" si="57"/>
        <v>0</v>
      </c>
      <c r="CU132" s="2943">
        <f t="shared" si="57"/>
        <v>0</v>
      </c>
      <c r="CV132" s="2943">
        <f t="shared" si="57"/>
        <v>0</v>
      </c>
      <c r="CW132" s="2445"/>
      <c r="CX132" s="1940">
        <v>3.1</v>
      </c>
      <c r="CY132" s="1944" t="s">
        <v>3572</v>
      </c>
      <c r="CZ132" s="1941"/>
      <c r="DA132" s="2945">
        <f t="shared" si="41"/>
        <v>0</v>
      </c>
      <c r="DB132" s="2945"/>
      <c r="DC132" s="2945"/>
      <c r="DD132" s="2945"/>
      <c r="DE132" s="2945"/>
      <c r="DF132" s="2945"/>
      <c r="DG132" s="2945"/>
      <c r="DH132" s="2968"/>
      <c r="DI132" s="2945"/>
      <c r="DJ132" s="2945"/>
      <c r="DK132" s="2949"/>
      <c r="DL132" s="2945"/>
      <c r="DM132" s="2945"/>
    </row>
    <row r="133" spans="1:117" hidden="1">
      <c r="B133" s="1914">
        <f t="shared" si="53"/>
        <v>3.2</v>
      </c>
      <c r="C133" s="1941" t="str">
        <f t="shared" si="49"/>
        <v>換気設備</v>
      </c>
      <c r="D133" s="1938">
        <f t="shared" si="62"/>
        <v>0</v>
      </c>
      <c r="E133" s="1939">
        <f t="shared" si="62"/>
        <v>0</v>
      </c>
      <c r="G133" s="1939">
        <f t="shared" si="50"/>
        <v>0</v>
      </c>
      <c r="H133" s="1939">
        <f t="shared" si="51"/>
        <v>0</v>
      </c>
      <c r="I133" s="1939"/>
      <c r="J133" s="1939"/>
      <c r="K133" s="1939">
        <f>IF(スコア!Q133=0,0,1)</f>
        <v>0</v>
      </c>
      <c r="L133" s="1939">
        <f>IF(スコア!T133=0,0,1)</f>
        <v>0</v>
      </c>
      <c r="M133" s="1939">
        <f t="shared" si="52"/>
        <v>0</v>
      </c>
      <c r="N133" s="1939">
        <f t="shared" si="61"/>
        <v>0</v>
      </c>
      <c r="P133" s="1940">
        <f t="shared" si="56"/>
        <v>3.2</v>
      </c>
      <c r="Q133" s="1940" t="str">
        <f t="shared" si="56"/>
        <v>LR1 3b</v>
      </c>
      <c r="R133" s="1941" t="str">
        <f t="shared" si="56"/>
        <v>換気設備</v>
      </c>
      <c r="S133" s="1942">
        <f t="shared" si="56"/>
        <v>0</v>
      </c>
      <c r="T133" s="1942">
        <f t="shared" si="56"/>
        <v>0</v>
      </c>
      <c r="U133" s="1942">
        <f t="shared" si="56"/>
        <v>0</v>
      </c>
      <c r="V133" s="1942">
        <f t="shared" si="54"/>
        <v>0</v>
      </c>
      <c r="W133" s="1942">
        <f t="shared" si="54"/>
        <v>0</v>
      </c>
      <c r="X133" s="1942">
        <f t="shared" si="54"/>
        <v>0</v>
      </c>
      <c r="Y133" s="1942">
        <f t="shared" si="54"/>
        <v>0</v>
      </c>
      <c r="Z133" s="1951">
        <f t="shared" si="55"/>
        <v>0</v>
      </c>
      <c r="AA133" s="1942">
        <f t="shared" si="55"/>
        <v>0</v>
      </c>
      <c r="AB133" s="1942">
        <f t="shared" si="55"/>
        <v>0</v>
      </c>
      <c r="AC133" s="1943">
        <f t="shared" si="55"/>
        <v>0</v>
      </c>
      <c r="AD133" s="1942">
        <f t="shared" si="55"/>
        <v>0</v>
      </c>
      <c r="AE133" s="1942">
        <f t="shared" si="55"/>
        <v>0</v>
      </c>
      <c r="AG133" s="1940">
        <v>3.2</v>
      </c>
      <c r="AH133" s="1944" t="s">
        <v>1171</v>
      </c>
      <c r="AI133" s="1941" t="s">
        <v>1043</v>
      </c>
      <c r="AJ133" s="1947"/>
      <c r="AK133" s="1947"/>
      <c r="AL133" s="1947"/>
      <c r="AM133" s="1947"/>
      <c r="AN133" s="1947"/>
      <c r="AO133" s="1947"/>
      <c r="AP133" s="1947"/>
      <c r="AQ133" s="1954"/>
      <c r="AR133" s="1947"/>
      <c r="AS133" s="2150">
        <v>0.1</v>
      </c>
      <c r="AT133" s="1948"/>
      <c r="AU133" s="1947"/>
      <c r="AV133" s="1947"/>
      <c r="AX133" s="1940">
        <v>3.2</v>
      </c>
      <c r="AY133" s="1944" t="s">
        <v>1171</v>
      </c>
      <c r="AZ133" s="1941" t="s">
        <v>1043</v>
      </c>
      <c r="BA133" s="1947"/>
      <c r="BB133" s="1947"/>
      <c r="BC133" s="1947"/>
      <c r="BD133" s="1947"/>
      <c r="BE133" s="1947"/>
      <c r="BF133" s="1947"/>
      <c r="BG133" s="1947"/>
      <c r="BH133" s="1954"/>
      <c r="BI133" s="1947"/>
      <c r="BJ133" s="2150">
        <v>0.1</v>
      </c>
      <c r="BK133" s="1948"/>
      <c r="BL133" s="1947"/>
      <c r="BM133" s="1947"/>
      <c r="BO133" s="1940">
        <v>3.2</v>
      </c>
      <c r="BP133" s="1944" t="s">
        <v>3715</v>
      </c>
      <c r="BQ133" s="1941" t="s">
        <v>1043</v>
      </c>
      <c r="BR133" s="1947"/>
      <c r="BS133" s="1947"/>
      <c r="BT133" s="1947"/>
      <c r="BU133" s="1947"/>
      <c r="BV133" s="1947"/>
      <c r="BW133" s="1947"/>
      <c r="BX133" s="1947"/>
      <c r="BY133" s="1954"/>
      <c r="BZ133" s="1947"/>
      <c r="CA133" s="1947"/>
      <c r="CB133" s="1948"/>
      <c r="CC133" s="1947"/>
      <c r="CD133" s="1947"/>
      <c r="CE133" s="2302"/>
      <c r="CF133">
        <f>ROWS($CF$5:CF132)</f>
        <v>128</v>
      </c>
      <c r="CG133" s="1940">
        <v>3.2</v>
      </c>
      <c r="CH133" s="1944" t="s">
        <v>3572</v>
      </c>
      <c r="CI133" s="1941"/>
      <c r="CJ133" s="2943">
        <f t="shared" si="59"/>
        <v>0</v>
      </c>
      <c r="CK133" s="2943">
        <f t="shared" si="59"/>
        <v>0</v>
      </c>
      <c r="CL133" s="2943">
        <f t="shared" si="59"/>
        <v>0</v>
      </c>
      <c r="CM133" s="2943">
        <f t="shared" si="59"/>
        <v>0</v>
      </c>
      <c r="CN133" s="2943">
        <f t="shared" si="59"/>
        <v>0</v>
      </c>
      <c r="CO133" s="2943">
        <f t="shared" si="59"/>
        <v>0</v>
      </c>
      <c r="CP133" s="2943">
        <f t="shared" si="59"/>
        <v>0</v>
      </c>
      <c r="CQ133" s="2967">
        <f t="shared" si="59"/>
        <v>0</v>
      </c>
      <c r="CR133" s="2943">
        <f t="shared" si="59"/>
        <v>0</v>
      </c>
      <c r="CS133" s="2943">
        <f t="shared" si="59"/>
        <v>0</v>
      </c>
      <c r="CT133" s="2947">
        <f t="shared" si="57"/>
        <v>0</v>
      </c>
      <c r="CU133" s="2943">
        <f t="shared" si="57"/>
        <v>0</v>
      </c>
      <c r="CV133" s="2943">
        <f t="shared" si="57"/>
        <v>0</v>
      </c>
      <c r="CW133" s="2445"/>
      <c r="CX133" s="1940">
        <v>3.2</v>
      </c>
      <c r="CY133" s="1944" t="s">
        <v>3572</v>
      </c>
      <c r="CZ133" s="1941"/>
      <c r="DA133" s="2945">
        <f t="shared" si="41"/>
        <v>0</v>
      </c>
      <c r="DB133" s="2945"/>
      <c r="DC133" s="2945"/>
      <c r="DD133" s="2945"/>
      <c r="DE133" s="2945"/>
      <c r="DF133" s="2945"/>
      <c r="DG133" s="2945"/>
      <c r="DH133" s="2968"/>
      <c r="DI133" s="2945"/>
      <c r="DJ133" s="2945"/>
      <c r="DK133" s="2949"/>
      <c r="DL133" s="2945"/>
      <c r="DM133" s="2945"/>
    </row>
    <row r="134" spans="1:117" hidden="1">
      <c r="B134" s="1914">
        <f t="shared" si="53"/>
        <v>3.3</v>
      </c>
      <c r="C134" s="1941" t="str">
        <f t="shared" si="49"/>
        <v>照明設備</v>
      </c>
      <c r="D134" s="1938">
        <f t="shared" si="62"/>
        <v>0</v>
      </c>
      <c r="E134" s="1939">
        <f t="shared" si="62"/>
        <v>0</v>
      </c>
      <c r="G134" s="1939">
        <f t="shared" si="50"/>
        <v>0</v>
      </c>
      <c r="H134" s="1939">
        <f t="shared" si="51"/>
        <v>0</v>
      </c>
      <c r="I134" s="1939"/>
      <c r="J134" s="1939"/>
      <c r="K134" s="1939">
        <f>IF(スコア!Q134=0,0,1)</f>
        <v>0</v>
      </c>
      <c r="L134" s="1939">
        <f>IF(スコア!T134=0,0,1)</f>
        <v>0</v>
      </c>
      <c r="M134" s="1939">
        <f t="shared" si="52"/>
        <v>0</v>
      </c>
      <c r="N134" s="1939">
        <f t="shared" si="61"/>
        <v>0</v>
      </c>
      <c r="P134" s="1940">
        <f t="shared" si="56"/>
        <v>3.3</v>
      </c>
      <c r="Q134" s="1940" t="str">
        <f t="shared" si="56"/>
        <v>LR1 3b</v>
      </c>
      <c r="R134" s="1941" t="str">
        <f t="shared" si="56"/>
        <v>照明設備</v>
      </c>
      <c r="S134" s="1942">
        <f t="shared" si="56"/>
        <v>0</v>
      </c>
      <c r="T134" s="1942">
        <f t="shared" si="56"/>
        <v>0</v>
      </c>
      <c r="U134" s="1942">
        <f t="shared" si="56"/>
        <v>0</v>
      </c>
      <c r="V134" s="1942">
        <f t="shared" si="54"/>
        <v>0</v>
      </c>
      <c r="W134" s="1942">
        <f t="shared" si="54"/>
        <v>0</v>
      </c>
      <c r="X134" s="1942">
        <f t="shared" si="54"/>
        <v>0</v>
      </c>
      <c r="Y134" s="1942">
        <f t="shared" si="54"/>
        <v>0</v>
      </c>
      <c r="Z134" s="1951">
        <f t="shared" si="55"/>
        <v>0</v>
      </c>
      <c r="AA134" s="1942">
        <f t="shared" si="55"/>
        <v>0</v>
      </c>
      <c r="AB134" s="1942">
        <f t="shared" si="55"/>
        <v>0</v>
      </c>
      <c r="AC134" s="1943">
        <f t="shared" si="55"/>
        <v>0</v>
      </c>
      <c r="AD134" s="1942">
        <f t="shared" si="55"/>
        <v>0</v>
      </c>
      <c r="AE134" s="1942">
        <f t="shared" si="55"/>
        <v>0</v>
      </c>
      <c r="AG134" s="1940">
        <v>3.3</v>
      </c>
      <c r="AH134" s="1944" t="s">
        <v>1171</v>
      </c>
      <c r="AI134" s="1941" t="s">
        <v>1044</v>
      </c>
      <c r="AJ134" s="1947"/>
      <c r="AK134" s="1947"/>
      <c r="AL134" s="1947"/>
      <c r="AM134" s="1947"/>
      <c r="AN134" s="1947"/>
      <c r="AO134" s="1947"/>
      <c r="AP134" s="1947"/>
      <c r="AQ134" s="1954"/>
      <c r="AR134" s="1947"/>
      <c r="AS134" s="2150">
        <v>0.2</v>
      </c>
      <c r="AT134" s="1948"/>
      <c r="AU134" s="1947"/>
      <c r="AV134" s="1947"/>
      <c r="AX134" s="1940">
        <v>3.3</v>
      </c>
      <c r="AY134" s="1944" t="s">
        <v>1171</v>
      </c>
      <c r="AZ134" s="1941" t="s">
        <v>1044</v>
      </c>
      <c r="BA134" s="1947"/>
      <c r="BB134" s="1947"/>
      <c r="BC134" s="1947"/>
      <c r="BD134" s="1947"/>
      <c r="BE134" s="1947"/>
      <c r="BF134" s="1947"/>
      <c r="BG134" s="1947"/>
      <c r="BH134" s="1954"/>
      <c r="BI134" s="1947"/>
      <c r="BJ134" s="2150">
        <v>0.2</v>
      </c>
      <c r="BK134" s="1948"/>
      <c r="BL134" s="1947"/>
      <c r="BM134" s="1947"/>
      <c r="BO134" s="1940">
        <v>3.3</v>
      </c>
      <c r="BP134" s="1944" t="s">
        <v>3715</v>
      </c>
      <c r="BQ134" s="1941" t="s">
        <v>1044</v>
      </c>
      <c r="BR134" s="1947"/>
      <c r="BS134" s="1947"/>
      <c r="BT134" s="1947"/>
      <c r="BU134" s="1947"/>
      <c r="BV134" s="1947"/>
      <c r="BW134" s="1947"/>
      <c r="BX134" s="1947"/>
      <c r="BY134" s="1954"/>
      <c r="BZ134" s="1947"/>
      <c r="CA134" s="1947"/>
      <c r="CB134" s="1948"/>
      <c r="CC134" s="1947"/>
      <c r="CD134" s="1947"/>
      <c r="CE134" s="2302"/>
      <c r="CF134">
        <f>ROWS($CF$5:CF133)</f>
        <v>129</v>
      </c>
      <c r="CG134" s="1940">
        <v>3.3</v>
      </c>
      <c r="CH134" s="1944" t="s">
        <v>3572</v>
      </c>
      <c r="CI134" s="1941"/>
      <c r="CJ134" s="2943">
        <f t="shared" si="59"/>
        <v>0</v>
      </c>
      <c r="CK134" s="2943">
        <f t="shared" si="59"/>
        <v>0</v>
      </c>
      <c r="CL134" s="2943">
        <f t="shared" si="59"/>
        <v>0</v>
      </c>
      <c r="CM134" s="2943">
        <f t="shared" si="59"/>
        <v>0</v>
      </c>
      <c r="CN134" s="2943">
        <f t="shared" si="59"/>
        <v>0</v>
      </c>
      <c r="CO134" s="2943">
        <f t="shared" si="59"/>
        <v>0</v>
      </c>
      <c r="CP134" s="2943">
        <f t="shared" si="59"/>
        <v>0</v>
      </c>
      <c r="CQ134" s="2967">
        <f t="shared" si="59"/>
        <v>0</v>
      </c>
      <c r="CR134" s="2943">
        <f t="shared" si="59"/>
        <v>0</v>
      </c>
      <c r="CS134" s="2943">
        <f t="shared" si="59"/>
        <v>0</v>
      </c>
      <c r="CT134" s="2947">
        <f t="shared" si="57"/>
        <v>0</v>
      </c>
      <c r="CU134" s="2943">
        <f t="shared" si="57"/>
        <v>0</v>
      </c>
      <c r="CV134" s="2943">
        <f t="shared" si="57"/>
        <v>0</v>
      </c>
      <c r="CW134" s="2445"/>
      <c r="CX134" s="1940">
        <v>3.3</v>
      </c>
      <c r="CY134" s="1944" t="s">
        <v>3572</v>
      </c>
      <c r="CZ134" s="1941"/>
      <c r="DA134" s="2945">
        <f t="shared" si="41"/>
        <v>0</v>
      </c>
      <c r="DB134" s="2945"/>
      <c r="DC134" s="2945"/>
      <c r="DD134" s="2945"/>
      <c r="DE134" s="2945"/>
      <c r="DF134" s="2945"/>
      <c r="DG134" s="2945"/>
      <c r="DH134" s="2968"/>
      <c r="DI134" s="2945"/>
      <c r="DJ134" s="2945"/>
      <c r="DK134" s="2949"/>
      <c r="DL134" s="2945"/>
      <c r="DM134" s="2945"/>
    </row>
    <row r="135" spans="1:117" hidden="1">
      <c r="B135" s="1914">
        <f t="shared" si="53"/>
        <v>3.4</v>
      </c>
      <c r="C135" s="1941" t="str">
        <f t="shared" si="49"/>
        <v>給湯設備</v>
      </c>
      <c r="D135" s="1938">
        <f t="shared" si="62"/>
        <v>0</v>
      </c>
      <c r="E135" s="1939">
        <f t="shared" si="62"/>
        <v>0</v>
      </c>
      <c r="G135" s="1939">
        <f t="shared" si="50"/>
        <v>0</v>
      </c>
      <c r="H135" s="1939">
        <f t="shared" si="51"/>
        <v>0</v>
      </c>
      <c r="I135" s="1939"/>
      <c r="J135" s="1939"/>
      <c r="K135" s="1939">
        <f>IF(スコア!Q135=0,0,1)</f>
        <v>0</v>
      </c>
      <c r="L135" s="1939">
        <f>IF(スコア!T135=0,0,1)</f>
        <v>0</v>
      </c>
      <c r="M135" s="1939">
        <f t="shared" si="52"/>
        <v>0</v>
      </c>
      <c r="N135" s="1939">
        <f t="shared" si="61"/>
        <v>0</v>
      </c>
      <c r="P135" s="2013">
        <f t="shared" si="56"/>
        <v>3.4</v>
      </c>
      <c r="Q135" s="1940" t="str">
        <f t="shared" si="56"/>
        <v>LR1 3b</v>
      </c>
      <c r="R135" s="1941" t="str">
        <f t="shared" si="56"/>
        <v>給湯設備</v>
      </c>
      <c r="S135" s="1942">
        <f t="shared" si="56"/>
        <v>0</v>
      </c>
      <c r="T135" s="1942">
        <f t="shared" si="56"/>
        <v>0</v>
      </c>
      <c r="U135" s="1942">
        <f t="shared" si="56"/>
        <v>0</v>
      </c>
      <c r="V135" s="1942">
        <f t="shared" si="54"/>
        <v>0</v>
      </c>
      <c r="W135" s="1942">
        <f t="shared" si="54"/>
        <v>0</v>
      </c>
      <c r="X135" s="1942">
        <f t="shared" si="54"/>
        <v>0</v>
      </c>
      <c r="Y135" s="1942">
        <f t="shared" si="54"/>
        <v>0</v>
      </c>
      <c r="Z135" s="1951">
        <f t="shared" si="55"/>
        <v>0</v>
      </c>
      <c r="AA135" s="1942">
        <f t="shared" si="55"/>
        <v>0</v>
      </c>
      <c r="AB135" s="1942">
        <f t="shared" si="55"/>
        <v>0</v>
      </c>
      <c r="AC135" s="1943">
        <f t="shared" si="55"/>
        <v>0</v>
      </c>
      <c r="AD135" s="1942">
        <f t="shared" si="55"/>
        <v>0</v>
      </c>
      <c r="AE135" s="1942">
        <f t="shared" si="55"/>
        <v>0</v>
      </c>
      <c r="AG135" s="2013">
        <v>3.4</v>
      </c>
      <c r="AH135" s="1944" t="s">
        <v>1171</v>
      </c>
      <c r="AI135" s="1941" t="s">
        <v>1045</v>
      </c>
      <c r="AJ135" s="1947"/>
      <c r="AK135" s="1947"/>
      <c r="AL135" s="1947"/>
      <c r="AM135" s="1947"/>
      <c r="AN135" s="1947"/>
      <c r="AO135" s="1947"/>
      <c r="AP135" s="1947"/>
      <c r="AQ135" s="1954"/>
      <c r="AR135" s="1947"/>
      <c r="AS135" s="2150">
        <v>0.05</v>
      </c>
      <c r="AT135" s="1948"/>
      <c r="AU135" s="1947"/>
      <c r="AV135" s="1947"/>
      <c r="AX135" s="2013">
        <v>3.4</v>
      </c>
      <c r="AY135" s="1944" t="s">
        <v>1171</v>
      </c>
      <c r="AZ135" s="1941" t="s">
        <v>1045</v>
      </c>
      <c r="BA135" s="1947"/>
      <c r="BB135" s="1947"/>
      <c r="BC135" s="1947"/>
      <c r="BD135" s="1947"/>
      <c r="BE135" s="1947"/>
      <c r="BF135" s="1947"/>
      <c r="BG135" s="1947"/>
      <c r="BH135" s="1954"/>
      <c r="BI135" s="1947"/>
      <c r="BJ135" s="2150">
        <v>0.05</v>
      </c>
      <c r="BK135" s="1948"/>
      <c r="BL135" s="1947"/>
      <c r="BM135" s="1947"/>
      <c r="BO135" s="2013">
        <v>3.4</v>
      </c>
      <c r="BP135" s="1944" t="s">
        <v>3715</v>
      </c>
      <c r="BQ135" s="1941" t="s">
        <v>1045</v>
      </c>
      <c r="BR135" s="1947"/>
      <c r="BS135" s="1947"/>
      <c r="BT135" s="1947"/>
      <c r="BU135" s="1947"/>
      <c r="BV135" s="1947"/>
      <c r="BW135" s="1947"/>
      <c r="BX135" s="1947"/>
      <c r="BY135" s="1954"/>
      <c r="BZ135" s="1947"/>
      <c r="CA135" s="1947"/>
      <c r="CB135" s="1948"/>
      <c r="CC135" s="1947"/>
      <c r="CD135" s="1947"/>
      <c r="CE135" s="2302"/>
      <c r="CF135">
        <f>ROWS($CF$5:CF134)</f>
        <v>130</v>
      </c>
      <c r="CG135" s="2013">
        <v>3.4</v>
      </c>
      <c r="CH135" s="1944" t="s">
        <v>3572</v>
      </c>
      <c r="CI135" s="1941"/>
      <c r="CJ135" s="2943">
        <f t="shared" si="59"/>
        <v>0</v>
      </c>
      <c r="CK135" s="2943">
        <f t="shared" si="59"/>
        <v>0</v>
      </c>
      <c r="CL135" s="2943">
        <f t="shared" si="59"/>
        <v>0</v>
      </c>
      <c r="CM135" s="2943">
        <f t="shared" si="59"/>
        <v>0</v>
      </c>
      <c r="CN135" s="2943">
        <f t="shared" si="59"/>
        <v>0</v>
      </c>
      <c r="CO135" s="2943">
        <f t="shared" si="59"/>
        <v>0</v>
      </c>
      <c r="CP135" s="2943">
        <f t="shared" si="59"/>
        <v>0</v>
      </c>
      <c r="CQ135" s="2967">
        <f t="shared" si="59"/>
        <v>0</v>
      </c>
      <c r="CR135" s="2943">
        <f t="shared" si="59"/>
        <v>0</v>
      </c>
      <c r="CS135" s="2943">
        <f t="shared" si="59"/>
        <v>0</v>
      </c>
      <c r="CT135" s="2947">
        <f t="shared" si="57"/>
        <v>0</v>
      </c>
      <c r="CU135" s="2943">
        <f t="shared" si="57"/>
        <v>0</v>
      </c>
      <c r="CV135" s="2943">
        <f t="shared" si="57"/>
        <v>0</v>
      </c>
      <c r="CW135" s="2445"/>
      <c r="CX135" s="2013">
        <v>3.4</v>
      </c>
      <c r="CY135" s="1944" t="s">
        <v>3572</v>
      </c>
      <c r="CZ135" s="1941"/>
      <c r="DA135" s="2945">
        <f t="shared" si="41"/>
        <v>0</v>
      </c>
      <c r="DB135" s="2945"/>
      <c r="DC135" s="2945"/>
      <c r="DD135" s="2945"/>
      <c r="DE135" s="2945"/>
      <c r="DF135" s="2945"/>
      <c r="DG135" s="2945"/>
      <c r="DH135" s="2968"/>
      <c r="DI135" s="2945"/>
      <c r="DJ135" s="2945"/>
      <c r="DK135" s="2949"/>
      <c r="DL135" s="2945"/>
      <c r="DM135" s="2945"/>
    </row>
    <row r="136" spans="1:117" hidden="1">
      <c r="B136" s="1914">
        <f t="shared" si="53"/>
        <v>3.5</v>
      </c>
      <c r="C136" s="1941" t="str">
        <f t="shared" si="49"/>
        <v>昇降機設備</v>
      </c>
      <c r="D136" s="1938">
        <f t="shared" si="62"/>
        <v>0</v>
      </c>
      <c r="E136" s="1939">
        <f t="shared" si="62"/>
        <v>0</v>
      </c>
      <c r="G136" s="1939">
        <f t="shared" si="50"/>
        <v>0</v>
      </c>
      <c r="H136" s="1939">
        <f t="shared" si="51"/>
        <v>0</v>
      </c>
      <c r="I136" s="1939"/>
      <c r="J136" s="1939"/>
      <c r="K136" s="1939">
        <f>IF(スコア!Q136=0,0,1)</f>
        <v>0</v>
      </c>
      <c r="L136" s="1939">
        <f>IF(スコア!T136=0,0,1)</f>
        <v>0</v>
      </c>
      <c r="M136" s="1939">
        <f t="shared" si="52"/>
        <v>0</v>
      </c>
      <c r="N136" s="1939">
        <f t="shared" si="61"/>
        <v>0</v>
      </c>
      <c r="P136" s="2013">
        <f t="shared" si="56"/>
        <v>3.5</v>
      </c>
      <c r="Q136" s="1940" t="str">
        <f t="shared" si="56"/>
        <v>LR1 3b</v>
      </c>
      <c r="R136" s="1941" t="str">
        <f t="shared" si="56"/>
        <v>昇降機設備</v>
      </c>
      <c r="S136" s="1942">
        <f t="shared" si="56"/>
        <v>0</v>
      </c>
      <c r="T136" s="1942">
        <f t="shared" si="56"/>
        <v>0</v>
      </c>
      <c r="U136" s="1942">
        <f t="shared" si="56"/>
        <v>0</v>
      </c>
      <c r="V136" s="1942">
        <f t="shared" si="54"/>
        <v>0</v>
      </c>
      <c r="W136" s="1942">
        <f t="shared" si="54"/>
        <v>0</v>
      </c>
      <c r="X136" s="1942">
        <f t="shared" si="54"/>
        <v>0</v>
      </c>
      <c r="Y136" s="1942">
        <f t="shared" si="54"/>
        <v>0</v>
      </c>
      <c r="Z136" s="1951">
        <f t="shared" si="55"/>
        <v>0</v>
      </c>
      <c r="AA136" s="1942">
        <f t="shared" si="55"/>
        <v>0</v>
      </c>
      <c r="AB136" s="1942">
        <f t="shared" si="55"/>
        <v>0</v>
      </c>
      <c r="AC136" s="1943">
        <f t="shared" si="55"/>
        <v>0</v>
      </c>
      <c r="AD136" s="1942">
        <f t="shared" si="55"/>
        <v>0</v>
      </c>
      <c r="AE136" s="1942">
        <f t="shared" si="55"/>
        <v>0</v>
      </c>
      <c r="AG136" s="2013">
        <v>3.5</v>
      </c>
      <c r="AH136" s="1944" t="s">
        <v>1171</v>
      </c>
      <c r="AI136" s="1941" t="s">
        <v>1046</v>
      </c>
      <c r="AJ136" s="1947"/>
      <c r="AK136" s="1947"/>
      <c r="AL136" s="1947"/>
      <c r="AM136" s="1947"/>
      <c r="AN136" s="1947"/>
      <c r="AO136" s="1947"/>
      <c r="AP136" s="1947"/>
      <c r="AQ136" s="1954"/>
      <c r="AR136" s="1947"/>
      <c r="AS136" s="1947"/>
      <c r="AT136" s="1948"/>
      <c r="AU136" s="1947"/>
      <c r="AV136" s="1947"/>
      <c r="AX136" s="2013">
        <v>3.5</v>
      </c>
      <c r="AY136" s="1944" t="s">
        <v>1171</v>
      </c>
      <c r="AZ136" s="1941" t="s">
        <v>1046</v>
      </c>
      <c r="BA136" s="1947"/>
      <c r="BB136" s="1947"/>
      <c r="BC136" s="1947"/>
      <c r="BD136" s="1947"/>
      <c r="BE136" s="1947"/>
      <c r="BF136" s="1947"/>
      <c r="BG136" s="1947"/>
      <c r="BH136" s="1954"/>
      <c r="BI136" s="1947"/>
      <c r="BJ136" s="1947"/>
      <c r="BK136" s="1948"/>
      <c r="BL136" s="1947"/>
      <c r="BM136" s="1947"/>
      <c r="BO136" s="2013">
        <v>3.5</v>
      </c>
      <c r="BP136" s="1944" t="s">
        <v>3715</v>
      </c>
      <c r="BQ136" s="1941" t="s">
        <v>1046</v>
      </c>
      <c r="BR136" s="1947"/>
      <c r="BS136" s="1947"/>
      <c r="BT136" s="1947"/>
      <c r="BU136" s="1947"/>
      <c r="BV136" s="1947"/>
      <c r="BW136" s="1947"/>
      <c r="BX136" s="1947"/>
      <c r="BY136" s="1954"/>
      <c r="BZ136" s="1947"/>
      <c r="CA136" s="1947"/>
      <c r="CB136" s="1948"/>
      <c r="CC136" s="1947"/>
      <c r="CD136" s="1947"/>
      <c r="CE136" s="2302"/>
      <c r="CF136">
        <f>ROWS($CF$5:CF135)</f>
        <v>131</v>
      </c>
      <c r="CG136" s="2013">
        <v>3.5</v>
      </c>
      <c r="CH136" s="1944" t="s">
        <v>3572</v>
      </c>
      <c r="CI136" s="1941"/>
      <c r="CJ136" s="2943">
        <f t="shared" si="59"/>
        <v>0</v>
      </c>
      <c r="CK136" s="2943">
        <f t="shared" si="59"/>
        <v>0</v>
      </c>
      <c r="CL136" s="2943">
        <f t="shared" si="59"/>
        <v>0</v>
      </c>
      <c r="CM136" s="2943">
        <f t="shared" si="59"/>
        <v>0</v>
      </c>
      <c r="CN136" s="2943">
        <f t="shared" si="59"/>
        <v>0</v>
      </c>
      <c r="CO136" s="2943">
        <f t="shared" si="59"/>
        <v>0</v>
      </c>
      <c r="CP136" s="2943">
        <f t="shared" si="59"/>
        <v>0</v>
      </c>
      <c r="CQ136" s="2967">
        <f t="shared" si="59"/>
        <v>0</v>
      </c>
      <c r="CR136" s="2943">
        <f t="shared" si="59"/>
        <v>0</v>
      </c>
      <c r="CS136" s="2943">
        <f t="shared" si="59"/>
        <v>0</v>
      </c>
      <c r="CT136" s="2947">
        <f t="shared" si="57"/>
        <v>0</v>
      </c>
      <c r="CU136" s="2943">
        <f t="shared" si="57"/>
        <v>0</v>
      </c>
      <c r="CV136" s="2943">
        <f t="shared" si="57"/>
        <v>0</v>
      </c>
      <c r="CW136" s="2445"/>
      <c r="CX136" s="2013">
        <v>3.5</v>
      </c>
      <c r="CY136" s="1944" t="s">
        <v>3572</v>
      </c>
      <c r="CZ136" s="1941"/>
      <c r="DA136" s="2945">
        <f t="shared" si="41"/>
        <v>0</v>
      </c>
      <c r="DB136" s="2945"/>
      <c r="DC136" s="2945"/>
      <c r="DD136" s="2945"/>
      <c r="DE136" s="2945"/>
      <c r="DF136" s="2945"/>
      <c r="DG136" s="2945"/>
      <c r="DH136" s="2968"/>
      <c r="DI136" s="2945"/>
      <c r="DJ136" s="2945"/>
      <c r="DK136" s="2949"/>
      <c r="DL136" s="2945"/>
      <c r="DM136" s="2945"/>
    </row>
    <row r="137" spans="1:117" hidden="1">
      <c r="B137" s="1914">
        <f t="shared" si="53"/>
        <v>0</v>
      </c>
      <c r="C137" s="1941">
        <f t="shared" si="49"/>
        <v>0</v>
      </c>
      <c r="D137" s="1938"/>
      <c r="E137" s="1939"/>
      <c r="G137" s="1939">
        <f t="shared" si="50"/>
        <v>0</v>
      </c>
      <c r="H137" s="1939">
        <f t="shared" si="51"/>
        <v>0</v>
      </c>
      <c r="I137" s="1939"/>
      <c r="J137" s="1939"/>
      <c r="K137" s="1939">
        <f>IF(スコア!Q137=0,0,1)</f>
        <v>0</v>
      </c>
      <c r="L137" s="1939">
        <f>IF(スコア!T137=0,0,1)</f>
        <v>0</v>
      </c>
      <c r="M137" s="1939">
        <f t="shared" si="52"/>
        <v>0</v>
      </c>
      <c r="N137" s="1939">
        <f t="shared" si="61"/>
        <v>0</v>
      </c>
      <c r="P137" s="2013">
        <f t="shared" si="56"/>
        <v>0</v>
      </c>
      <c r="Q137" s="2013" t="str">
        <f t="shared" si="56"/>
        <v>LR</v>
      </c>
      <c r="R137" s="1941">
        <f t="shared" si="56"/>
        <v>0</v>
      </c>
      <c r="S137" s="1942">
        <f t="shared" si="56"/>
        <v>0</v>
      </c>
      <c r="T137" s="1942">
        <f t="shared" si="56"/>
        <v>0</v>
      </c>
      <c r="U137" s="1942">
        <f t="shared" si="56"/>
        <v>0</v>
      </c>
      <c r="V137" s="1942">
        <f t="shared" si="54"/>
        <v>0</v>
      </c>
      <c r="W137" s="1942">
        <f t="shared" si="54"/>
        <v>0</v>
      </c>
      <c r="X137" s="1942">
        <f t="shared" si="54"/>
        <v>0</v>
      </c>
      <c r="Y137" s="1942">
        <f t="shared" si="54"/>
        <v>0</v>
      </c>
      <c r="Z137" s="1951">
        <f t="shared" si="55"/>
        <v>0</v>
      </c>
      <c r="AA137" s="1942">
        <f t="shared" si="55"/>
        <v>0</v>
      </c>
      <c r="AB137" s="1942">
        <f t="shared" si="55"/>
        <v>0</v>
      </c>
      <c r="AC137" s="1943">
        <f t="shared" si="55"/>
        <v>0</v>
      </c>
      <c r="AD137" s="1942">
        <f t="shared" si="55"/>
        <v>0</v>
      </c>
      <c r="AE137" s="1942">
        <f t="shared" si="55"/>
        <v>0</v>
      </c>
      <c r="AG137" s="2013"/>
      <c r="AH137" s="2014" t="s">
        <v>130</v>
      </c>
      <c r="AI137" s="1941"/>
      <c r="AJ137" s="1947"/>
      <c r="AK137" s="1947"/>
      <c r="AL137" s="1947"/>
      <c r="AM137" s="1947"/>
      <c r="AN137" s="1947"/>
      <c r="AO137" s="1947"/>
      <c r="AP137" s="1947"/>
      <c r="AQ137" s="1954"/>
      <c r="AR137" s="1947"/>
      <c r="AS137" s="1947"/>
      <c r="AT137" s="1948"/>
      <c r="AU137" s="1947"/>
      <c r="AV137" s="1947"/>
      <c r="AX137" s="2013"/>
      <c r="AY137" s="2014" t="s">
        <v>130</v>
      </c>
      <c r="AZ137" s="1941"/>
      <c r="BA137" s="1947"/>
      <c r="BB137" s="1947"/>
      <c r="BC137" s="1947"/>
      <c r="BD137" s="1947"/>
      <c r="BE137" s="1947"/>
      <c r="BF137" s="1947"/>
      <c r="BG137" s="1947"/>
      <c r="BH137" s="1954"/>
      <c r="BI137" s="1947"/>
      <c r="BJ137" s="1947"/>
      <c r="BK137" s="1948"/>
      <c r="BL137" s="1947"/>
      <c r="BM137" s="1947"/>
      <c r="BO137" s="2013"/>
      <c r="BP137" s="2014" t="s">
        <v>130</v>
      </c>
      <c r="BQ137" s="1941"/>
      <c r="BR137" s="1947"/>
      <c r="BS137" s="1947"/>
      <c r="BT137" s="1947"/>
      <c r="BU137" s="1947"/>
      <c r="BV137" s="1947"/>
      <c r="BW137" s="1947"/>
      <c r="BX137" s="1947"/>
      <c r="BY137" s="1954"/>
      <c r="BZ137" s="1947"/>
      <c r="CA137" s="1947"/>
      <c r="CB137" s="1948"/>
      <c r="CC137" s="1947"/>
      <c r="CD137" s="1947"/>
      <c r="CE137" s="2302"/>
      <c r="CF137">
        <f>ROWS($CF$5:CF136)</f>
        <v>132</v>
      </c>
      <c r="CG137" s="2013"/>
      <c r="CH137" s="2014" t="s">
        <v>130</v>
      </c>
      <c r="CI137" s="1941"/>
      <c r="CJ137" s="2943">
        <f t="shared" si="59"/>
        <v>0</v>
      </c>
      <c r="CK137" s="2943">
        <f t="shared" si="59"/>
        <v>0</v>
      </c>
      <c r="CL137" s="2943">
        <f t="shared" si="59"/>
        <v>0</v>
      </c>
      <c r="CM137" s="2943">
        <f t="shared" si="59"/>
        <v>0</v>
      </c>
      <c r="CN137" s="2943">
        <f t="shared" si="59"/>
        <v>0</v>
      </c>
      <c r="CO137" s="2943">
        <f t="shared" si="59"/>
        <v>0</v>
      </c>
      <c r="CP137" s="2943">
        <f t="shared" si="59"/>
        <v>0</v>
      </c>
      <c r="CQ137" s="2967">
        <f t="shared" si="59"/>
        <v>0</v>
      </c>
      <c r="CR137" s="2943">
        <f t="shared" si="59"/>
        <v>0</v>
      </c>
      <c r="CS137" s="2943">
        <f t="shared" si="59"/>
        <v>0</v>
      </c>
      <c r="CT137" s="2947">
        <f t="shared" si="57"/>
        <v>0</v>
      </c>
      <c r="CU137" s="2943">
        <f t="shared" si="57"/>
        <v>0</v>
      </c>
      <c r="CV137" s="2943">
        <f t="shared" si="57"/>
        <v>0</v>
      </c>
      <c r="CW137" s="2445"/>
      <c r="CX137" s="2013"/>
      <c r="CY137" s="2014" t="s">
        <v>130</v>
      </c>
      <c r="CZ137" s="1941"/>
      <c r="DA137" s="2945">
        <f t="shared" si="41"/>
        <v>0</v>
      </c>
      <c r="DB137" s="2945"/>
      <c r="DC137" s="2945"/>
      <c r="DD137" s="2945"/>
      <c r="DE137" s="2945"/>
      <c r="DF137" s="2945"/>
      <c r="DG137" s="2945"/>
      <c r="DH137" s="2968"/>
      <c r="DI137" s="2945"/>
      <c r="DJ137" s="2945"/>
      <c r="DK137" s="2949"/>
      <c r="DL137" s="2945"/>
      <c r="DM137" s="2945"/>
    </row>
    <row r="138" spans="1:117" s="1328" customFormat="1">
      <c r="A138"/>
      <c r="B138" s="1914">
        <f t="shared" si="53"/>
        <v>4</v>
      </c>
      <c r="C138" s="1929" t="str">
        <f t="shared" si="49"/>
        <v>効率的運用</v>
      </c>
      <c r="D138" s="1925" t="e">
        <f>IF(I$122=0,0,G138/I$122)</f>
        <v>#DIV/0!</v>
      </c>
      <c r="E138" s="1926">
        <f>IF(J$122=0,0,H138/J$122)</f>
        <v>0</v>
      </c>
      <c r="F138"/>
      <c r="G138" s="1926">
        <f t="shared" si="50"/>
        <v>0.2</v>
      </c>
      <c r="H138" s="1926">
        <f t="shared" si="51"/>
        <v>0</v>
      </c>
      <c r="I138" s="1926">
        <f>G139+G142</f>
        <v>1</v>
      </c>
      <c r="J138" s="1926">
        <f>H139+H142</f>
        <v>0</v>
      </c>
      <c r="K138" s="1926">
        <f>IF(スコア!Q138=0,0,1)</f>
        <v>1</v>
      </c>
      <c r="L138" s="1926">
        <f>IF(スコア!T138=0,0,1)</f>
        <v>0</v>
      </c>
      <c r="M138" s="1926">
        <f t="shared" ref="M138:M144" si="63">SUMPRODUCT($S$7:$AB$7,S138:AB138)</f>
        <v>0.2</v>
      </c>
      <c r="N138" s="1926">
        <f t="shared" si="61"/>
        <v>0</v>
      </c>
      <c r="O138"/>
      <c r="P138" s="2011">
        <f t="shared" si="56"/>
        <v>4</v>
      </c>
      <c r="Q138" s="1928" t="str">
        <f t="shared" si="56"/>
        <v>LR1</v>
      </c>
      <c r="R138" s="1929" t="str">
        <f t="shared" si="56"/>
        <v>効率的運用</v>
      </c>
      <c r="S138" s="1987">
        <f t="shared" si="56"/>
        <v>0.2</v>
      </c>
      <c r="T138" s="1987">
        <f t="shared" si="56"/>
        <v>0.2</v>
      </c>
      <c r="U138" s="1987">
        <f t="shared" si="56"/>
        <v>0.2</v>
      </c>
      <c r="V138" s="1987">
        <f t="shared" si="54"/>
        <v>0.2</v>
      </c>
      <c r="W138" s="1987">
        <f t="shared" si="54"/>
        <v>0.2</v>
      </c>
      <c r="X138" s="1987">
        <f t="shared" si="54"/>
        <v>0.2</v>
      </c>
      <c r="Y138" s="1987">
        <f t="shared" si="54"/>
        <v>0.2</v>
      </c>
      <c r="Z138" s="1931">
        <f t="shared" si="55"/>
        <v>0.2</v>
      </c>
      <c r="AA138" s="1987">
        <f t="shared" si="55"/>
        <v>0.25</v>
      </c>
      <c r="AB138" s="1987">
        <f t="shared" si="55"/>
        <v>0.2</v>
      </c>
      <c r="AC138" s="1932">
        <f t="shared" si="55"/>
        <v>0</v>
      </c>
      <c r="AD138" s="1930">
        <f t="shared" si="55"/>
        <v>0</v>
      </c>
      <c r="AE138" s="1930">
        <f t="shared" si="55"/>
        <v>0</v>
      </c>
      <c r="AF138"/>
      <c r="AG138" s="2011">
        <v>4</v>
      </c>
      <c r="AH138" s="1933" t="s">
        <v>1455</v>
      </c>
      <c r="AI138" s="1929" t="s">
        <v>1047</v>
      </c>
      <c r="AJ138" s="1989">
        <v>0.2</v>
      </c>
      <c r="AK138" s="1989">
        <v>0.2</v>
      </c>
      <c r="AL138" s="1989">
        <v>0.2</v>
      </c>
      <c r="AM138" s="1989">
        <v>0.2</v>
      </c>
      <c r="AN138" s="1989">
        <v>0.2</v>
      </c>
      <c r="AO138" s="1989">
        <v>0.2</v>
      </c>
      <c r="AP138" s="1989">
        <v>0.2</v>
      </c>
      <c r="AQ138" s="1989">
        <v>0.2</v>
      </c>
      <c r="AR138" s="1989">
        <v>0.25</v>
      </c>
      <c r="AS138" s="1989">
        <v>0.2</v>
      </c>
      <c r="AT138" s="1935"/>
      <c r="AU138" s="1934"/>
      <c r="AV138" s="1934"/>
      <c r="AW138"/>
      <c r="AX138" s="2011">
        <v>4</v>
      </c>
      <c r="AY138" s="1933" t="s">
        <v>1455</v>
      </c>
      <c r="AZ138" s="1929" t="s">
        <v>1047</v>
      </c>
      <c r="BA138" s="1989">
        <v>0.2</v>
      </c>
      <c r="BB138" s="1989">
        <v>0.2</v>
      </c>
      <c r="BC138" s="1989">
        <v>0.2</v>
      </c>
      <c r="BD138" s="1989">
        <v>0.2</v>
      </c>
      <c r="BE138" s="1989">
        <v>0.2</v>
      </c>
      <c r="BF138" s="1989">
        <v>0.2</v>
      </c>
      <c r="BG138" s="1989">
        <v>0.2</v>
      </c>
      <c r="BH138" s="1989">
        <v>0.2</v>
      </c>
      <c r="BI138" s="1989">
        <v>0.25</v>
      </c>
      <c r="BJ138" s="1989">
        <v>0.2</v>
      </c>
      <c r="BK138" s="1935"/>
      <c r="BL138" s="1934"/>
      <c r="BM138" s="1934"/>
      <c r="BN138"/>
      <c r="BO138" s="2011">
        <v>4</v>
      </c>
      <c r="BP138" s="1933" t="s">
        <v>1455</v>
      </c>
      <c r="BQ138" s="1929" t="s">
        <v>3757</v>
      </c>
      <c r="BR138" s="1989">
        <v>0.2</v>
      </c>
      <c r="BS138" s="1989">
        <v>0.2</v>
      </c>
      <c r="BT138" s="1989">
        <v>0.2</v>
      </c>
      <c r="BU138" s="1989">
        <v>0.2</v>
      </c>
      <c r="BV138" s="1989">
        <v>0.2</v>
      </c>
      <c r="BW138" s="1989">
        <v>0.2</v>
      </c>
      <c r="BX138" s="1989">
        <v>0.2</v>
      </c>
      <c r="BY138" s="1989">
        <v>0.2</v>
      </c>
      <c r="BZ138" s="1989">
        <v>0.25</v>
      </c>
      <c r="CA138" s="1989">
        <v>0.2</v>
      </c>
      <c r="CB138" s="1935"/>
      <c r="CC138" s="1934"/>
      <c r="CD138" s="1934"/>
      <c r="CE138" s="2301"/>
      <c r="CF138">
        <f>ROWS($CF$5:CF137)</f>
        <v>133</v>
      </c>
      <c r="CG138" s="2011">
        <v>4</v>
      </c>
      <c r="CH138" s="1933" t="s">
        <v>1455</v>
      </c>
      <c r="CI138" s="1929" t="s">
        <v>1047</v>
      </c>
      <c r="CJ138" s="2992">
        <f t="shared" si="59"/>
        <v>0.2</v>
      </c>
      <c r="CK138" s="2992">
        <f t="shared" si="59"/>
        <v>0.2</v>
      </c>
      <c r="CL138" s="2992">
        <f t="shared" si="59"/>
        <v>0.2</v>
      </c>
      <c r="CM138" s="2992">
        <f t="shared" si="59"/>
        <v>0.2</v>
      </c>
      <c r="CN138" s="2992">
        <f t="shared" si="59"/>
        <v>0.2</v>
      </c>
      <c r="CO138" s="2992">
        <f t="shared" si="59"/>
        <v>0.2</v>
      </c>
      <c r="CP138" s="2992">
        <f t="shared" si="59"/>
        <v>0.2</v>
      </c>
      <c r="CQ138" s="2992">
        <f t="shared" si="59"/>
        <v>0.2</v>
      </c>
      <c r="CR138" s="2992">
        <f t="shared" si="59"/>
        <v>0.25</v>
      </c>
      <c r="CS138" s="2992">
        <f t="shared" si="59"/>
        <v>0.2</v>
      </c>
      <c r="CT138" s="2939">
        <f t="shared" si="57"/>
        <v>0</v>
      </c>
      <c r="CU138" s="2937">
        <f t="shared" si="57"/>
        <v>0</v>
      </c>
      <c r="CV138" s="2937">
        <f t="shared" si="57"/>
        <v>0</v>
      </c>
      <c r="CW138" s="2445"/>
      <c r="CX138" s="2011">
        <v>4</v>
      </c>
      <c r="CY138" s="1933" t="s">
        <v>1455</v>
      </c>
      <c r="CZ138" s="1929" t="s">
        <v>1047</v>
      </c>
      <c r="DA138" s="2964">
        <f t="shared" si="41"/>
        <v>0.2</v>
      </c>
      <c r="DB138" s="2964"/>
      <c r="DC138" s="2964"/>
      <c r="DD138" s="2964"/>
      <c r="DE138" s="2964"/>
      <c r="DF138" s="2964"/>
      <c r="DG138" s="2964"/>
      <c r="DH138" s="2964"/>
      <c r="DI138" s="2964"/>
      <c r="DJ138" s="2964"/>
      <c r="DK138" s="2942"/>
      <c r="DL138" s="2940"/>
      <c r="DM138" s="2940"/>
    </row>
    <row r="139" spans="1:117">
      <c r="B139" s="1914">
        <f t="shared" si="53"/>
        <v>4.0999999999999996</v>
      </c>
      <c r="C139" s="1941" t="str">
        <f t="shared" si="49"/>
        <v>住宅以外の評価</v>
      </c>
      <c r="D139" s="1938">
        <f>IF(I$138=0,0,G139/I$138)</f>
        <v>0.98425196850393704</v>
      </c>
      <c r="E139" s="1938">
        <f>IF(J$138=0,0,H139/J$138)</f>
        <v>0</v>
      </c>
      <c r="G139" s="1939">
        <f t="shared" si="50"/>
        <v>0.98425196850393704</v>
      </c>
      <c r="H139" s="1939">
        <f t="shared" si="51"/>
        <v>0</v>
      </c>
      <c r="I139" s="1939">
        <f>SUM(G140:G141)</f>
        <v>0.98425196850393704</v>
      </c>
      <c r="J139" s="1939">
        <f>SUM(H140:H141)</f>
        <v>0</v>
      </c>
      <c r="K139" s="1939">
        <f>IF(スコア!Q139=0,0,1)</f>
        <v>1</v>
      </c>
      <c r="L139" s="1939">
        <f>IF(スコア!T139=0,0,1)</f>
        <v>0</v>
      </c>
      <c r="M139" s="1939">
        <f t="shared" si="63"/>
        <v>0.98425196850393704</v>
      </c>
      <c r="N139" s="1939">
        <f t="shared" ref="N139:N144" si="64">(AC$7*AC139)+(AD$7*AD139)+(AE$7*AE139)</f>
        <v>0</v>
      </c>
      <c r="P139" s="1940">
        <f t="shared" si="56"/>
        <v>4.0999999999999996</v>
      </c>
      <c r="Q139" s="1940" t="str">
        <f t="shared" si="56"/>
        <v>LR1 4</v>
      </c>
      <c r="R139" s="1941" t="str">
        <f t="shared" si="56"/>
        <v>住宅以外の評価</v>
      </c>
      <c r="S139" s="1942">
        <f t="shared" si="56"/>
        <v>1</v>
      </c>
      <c r="T139" s="1942">
        <f t="shared" si="56"/>
        <v>1</v>
      </c>
      <c r="U139" s="1942">
        <f t="shared" si="56"/>
        <v>1</v>
      </c>
      <c r="V139" s="1942">
        <f t="shared" si="54"/>
        <v>1</v>
      </c>
      <c r="W139" s="1942">
        <f t="shared" si="54"/>
        <v>1</v>
      </c>
      <c r="X139" s="1942">
        <f t="shared" si="54"/>
        <v>1</v>
      </c>
      <c r="Y139" s="1942">
        <f t="shared" si="54"/>
        <v>0</v>
      </c>
      <c r="Z139" s="1951">
        <f t="shared" si="55"/>
        <v>1</v>
      </c>
      <c r="AA139" s="1942">
        <f t="shared" si="55"/>
        <v>1</v>
      </c>
      <c r="AB139" s="1942">
        <f t="shared" si="55"/>
        <v>1</v>
      </c>
      <c r="AC139" s="1943">
        <f t="shared" si="55"/>
        <v>0</v>
      </c>
      <c r="AD139" s="2000">
        <f t="shared" si="55"/>
        <v>0</v>
      </c>
      <c r="AE139" s="2000">
        <f t="shared" si="55"/>
        <v>0</v>
      </c>
      <c r="AG139" s="1940">
        <v>4.0999999999999996</v>
      </c>
      <c r="AH139" s="1944" t="s">
        <v>134</v>
      </c>
      <c r="AI139" s="1941" t="s">
        <v>1322</v>
      </c>
      <c r="AJ139" s="1947">
        <v>1</v>
      </c>
      <c r="AK139" s="1947">
        <v>1</v>
      </c>
      <c r="AL139" s="1947">
        <v>1</v>
      </c>
      <c r="AM139" s="1947">
        <v>1</v>
      </c>
      <c r="AN139" s="1947">
        <v>1</v>
      </c>
      <c r="AO139" s="1947">
        <v>1</v>
      </c>
      <c r="AP139" s="1947"/>
      <c r="AQ139" s="1947">
        <v>1</v>
      </c>
      <c r="AR139" s="1947">
        <v>1</v>
      </c>
      <c r="AS139" s="1947">
        <v>1</v>
      </c>
      <c r="AT139" s="1948"/>
      <c r="AU139" s="2002"/>
      <c r="AV139" s="2002"/>
      <c r="AX139" s="1940">
        <v>4.0999999999999996</v>
      </c>
      <c r="AY139" s="1944" t="s">
        <v>134</v>
      </c>
      <c r="AZ139" s="1941" t="s">
        <v>1322</v>
      </c>
      <c r="BA139" s="1947">
        <v>1</v>
      </c>
      <c r="BB139" s="1947">
        <v>1</v>
      </c>
      <c r="BC139" s="1947">
        <v>1</v>
      </c>
      <c r="BD139" s="1947">
        <v>1</v>
      </c>
      <c r="BE139" s="1947">
        <v>1</v>
      </c>
      <c r="BF139" s="1947">
        <v>1</v>
      </c>
      <c r="BG139" s="1947"/>
      <c r="BH139" s="1947">
        <v>1</v>
      </c>
      <c r="BI139" s="1947">
        <v>1</v>
      </c>
      <c r="BJ139" s="1947">
        <v>1</v>
      </c>
      <c r="BK139" s="1948"/>
      <c r="BL139" s="2002"/>
      <c r="BM139" s="2002"/>
      <c r="BO139" s="1940">
        <v>4.0999999999999996</v>
      </c>
      <c r="BP139" s="1944" t="s">
        <v>134</v>
      </c>
      <c r="BQ139" s="1941" t="s">
        <v>3758</v>
      </c>
      <c r="BR139" s="1947">
        <v>1</v>
      </c>
      <c r="BS139" s="1947">
        <v>1</v>
      </c>
      <c r="BT139" s="1947">
        <v>1</v>
      </c>
      <c r="BU139" s="1947">
        <v>1</v>
      </c>
      <c r="BV139" s="1947">
        <v>1</v>
      </c>
      <c r="BW139" s="1947">
        <v>1</v>
      </c>
      <c r="BX139" s="1947"/>
      <c r="BY139" s="1947">
        <v>1</v>
      </c>
      <c r="BZ139" s="1947">
        <v>1</v>
      </c>
      <c r="CA139" s="1947">
        <v>1</v>
      </c>
      <c r="CB139" s="1948"/>
      <c r="CC139" s="2002"/>
      <c r="CD139" s="2002"/>
      <c r="CE139" s="2305"/>
      <c r="CF139">
        <f>ROWS($CF$5:CF138)</f>
        <v>134</v>
      </c>
      <c r="CG139" s="1940">
        <v>4.0999999999999996</v>
      </c>
      <c r="CH139" s="1944" t="s">
        <v>134</v>
      </c>
      <c r="CI139" s="1941" t="s">
        <v>3573</v>
      </c>
      <c r="CJ139" s="2943">
        <f t="shared" si="59"/>
        <v>1</v>
      </c>
      <c r="CK139" s="2943">
        <f t="shared" si="59"/>
        <v>1</v>
      </c>
      <c r="CL139" s="2943">
        <f t="shared" si="59"/>
        <v>1</v>
      </c>
      <c r="CM139" s="2943">
        <f t="shared" si="59"/>
        <v>1</v>
      </c>
      <c r="CN139" s="2943">
        <f t="shared" si="59"/>
        <v>1</v>
      </c>
      <c r="CO139" s="2943">
        <f t="shared" si="59"/>
        <v>1</v>
      </c>
      <c r="CP139" s="2943">
        <f t="shared" si="59"/>
        <v>0</v>
      </c>
      <c r="CQ139" s="2943">
        <f t="shared" si="59"/>
        <v>1</v>
      </c>
      <c r="CR139" s="2943">
        <f t="shared" si="59"/>
        <v>1</v>
      </c>
      <c r="CS139" s="2943">
        <f t="shared" si="59"/>
        <v>1</v>
      </c>
      <c r="CT139" s="2947">
        <f t="shared" si="57"/>
        <v>0</v>
      </c>
      <c r="CU139" s="2979">
        <f t="shared" si="57"/>
        <v>0</v>
      </c>
      <c r="CV139" s="2979">
        <f t="shared" si="57"/>
        <v>0</v>
      </c>
      <c r="CW139" s="2445"/>
      <c r="CX139" s="1940">
        <v>4.0999999999999996</v>
      </c>
      <c r="CY139" s="1944" t="s">
        <v>134</v>
      </c>
      <c r="CZ139" s="1941" t="s">
        <v>3573</v>
      </c>
      <c r="DA139" s="2945">
        <f t="shared" si="41"/>
        <v>1</v>
      </c>
      <c r="DB139" s="2945"/>
      <c r="DC139" s="2945"/>
      <c r="DD139" s="2945"/>
      <c r="DE139" s="2945"/>
      <c r="DF139" s="2945"/>
      <c r="DG139" s="2945"/>
      <c r="DH139" s="2945"/>
      <c r="DI139" s="2945"/>
      <c r="DJ139" s="2945"/>
      <c r="DK139" s="2949"/>
      <c r="DL139" s="2982"/>
      <c r="DM139" s="2982"/>
    </row>
    <row r="140" spans="1:117">
      <c r="B140" s="1914" t="str">
        <f>P140</f>
        <v>4.1.1</v>
      </c>
      <c r="C140" s="1941" t="str">
        <f>R140</f>
        <v>モニタリング</v>
      </c>
      <c r="D140" s="1938">
        <f>IF(I$139=0,0,G140/I$139)</f>
        <v>0.5</v>
      </c>
      <c r="E140" s="1938">
        <f>IF(J$139=0,0,H140/J$139)</f>
        <v>0</v>
      </c>
      <c r="G140" s="1939">
        <f t="shared" si="50"/>
        <v>0.49212598425196852</v>
      </c>
      <c r="H140" s="1939">
        <f t="shared" si="51"/>
        <v>0</v>
      </c>
      <c r="I140" s="1939"/>
      <c r="J140" s="1939"/>
      <c r="K140" s="1939">
        <f>IF(スコア!Q140=0,0,1)</f>
        <v>1</v>
      </c>
      <c r="L140" s="1939">
        <f>IF(スコア!T140=0,0,1)</f>
        <v>0</v>
      </c>
      <c r="M140" s="1939">
        <f t="shared" si="63"/>
        <v>0.49212598425196852</v>
      </c>
      <c r="N140" s="1939">
        <f t="shared" si="64"/>
        <v>0</v>
      </c>
      <c r="P140" s="1940" t="str">
        <f t="shared" si="56"/>
        <v>4.1.1</v>
      </c>
      <c r="Q140" s="1940" t="str">
        <f t="shared" si="56"/>
        <v>LR1 4.1</v>
      </c>
      <c r="R140" s="1941" t="str">
        <f t="shared" si="56"/>
        <v>モニタリング</v>
      </c>
      <c r="S140" s="1942">
        <f t="shared" si="56"/>
        <v>0.5</v>
      </c>
      <c r="T140" s="1942">
        <f t="shared" si="56"/>
        <v>0.5</v>
      </c>
      <c r="U140" s="1942">
        <f t="shared" si="56"/>
        <v>0.5</v>
      </c>
      <c r="V140" s="1942">
        <f t="shared" si="54"/>
        <v>0.5</v>
      </c>
      <c r="W140" s="1942">
        <f t="shared" si="54"/>
        <v>0.5</v>
      </c>
      <c r="X140" s="1942">
        <f t="shared" si="54"/>
        <v>0.5</v>
      </c>
      <c r="Y140" s="1942">
        <f t="shared" si="54"/>
        <v>0</v>
      </c>
      <c r="Z140" s="1951">
        <f t="shared" si="55"/>
        <v>0.5</v>
      </c>
      <c r="AA140" s="1942">
        <f t="shared" si="55"/>
        <v>0.5</v>
      </c>
      <c r="AB140" s="1942">
        <f t="shared" si="55"/>
        <v>0.5</v>
      </c>
      <c r="AC140" s="1943">
        <f t="shared" si="55"/>
        <v>0</v>
      </c>
      <c r="AD140" s="2000">
        <f t="shared" si="55"/>
        <v>0</v>
      </c>
      <c r="AE140" s="2000">
        <f t="shared" si="55"/>
        <v>0</v>
      </c>
      <c r="AG140" s="1940" t="s">
        <v>1315</v>
      </c>
      <c r="AH140" s="1944" t="s">
        <v>1319</v>
      </c>
      <c r="AI140" s="1941" t="s">
        <v>1582</v>
      </c>
      <c r="AJ140" s="1947">
        <v>0.5</v>
      </c>
      <c r="AK140" s="1947">
        <v>0.5</v>
      </c>
      <c r="AL140" s="1947">
        <v>0.5</v>
      </c>
      <c r="AM140" s="1947">
        <v>0.5</v>
      </c>
      <c r="AN140" s="1947">
        <v>0.5</v>
      </c>
      <c r="AO140" s="1947">
        <v>0.5</v>
      </c>
      <c r="AP140" s="1947"/>
      <c r="AQ140" s="1947">
        <v>0.5</v>
      </c>
      <c r="AR140" s="1947">
        <v>0.5</v>
      </c>
      <c r="AS140" s="1947">
        <v>0.5</v>
      </c>
      <c r="AT140" s="1948"/>
      <c r="AU140" s="2002"/>
      <c r="AV140" s="2002"/>
      <c r="AX140" s="1940" t="s">
        <v>1315</v>
      </c>
      <c r="AY140" s="1944" t="s">
        <v>1319</v>
      </c>
      <c r="AZ140" s="1941" t="s">
        <v>1582</v>
      </c>
      <c r="BA140" s="1947">
        <v>0.5</v>
      </c>
      <c r="BB140" s="1947">
        <v>0.5</v>
      </c>
      <c r="BC140" s="1947">
        <v>0.5</v>
      </c>
      <c r="BD140" s="1947">
        <v>0.5</v>
      </c>
      <c r="BE140" s="1947">
        <v>0.5</v>
      </c>
      <c r="BF140" s="1947">
        <v>0.5</v>
      </c>
      <c r="BG140" s="1947"/>
      <c r="BH140" s="1947">
        <v>0.5</v>
      </c>
      <c r="BI140" s="1947">
        <v>0.5</v>
      </c>
      <c r="BJ140" s="1947">
        <v>0.5</v>
      </c>
      <c r="BK140" s="1948"/>
      <c r="BL140" s="2002"/>
      <c r="BM140" s="2002"/>
      <c r="BO140" s="1940" t="s">
        <v>3682</v>
      </c>
      <c r="BP140" s="1944" t="s">
        <v>3716</v>
      </c>
      <c r="BQ140" s="1941" t="s">
        <v>3658</v>
      </c>
      <c r="BR140" s="1947">
        <v>0.5</v>
      </c>
      <c r="BS140" s="1947">
        <v>0.5</v>
      </c>
      <c r="BT140" s="1947">
        <v>0.5</v>
      </c>
      <c r="BU140" s="1947">
        <v>0.5</v>
      </c>
      <c r="BV140" s="1947">
        <v>0.5</v>
      </c>
      <c r="BW140" s="1947">
        <v>0.5</v>
      </c>
      <c r="BX140" s="1947"/>
      <c r="BY140" s="1947">
        <v>0.5</v>
      </c>
      <c r="BZ140" s="1947">
        <v>0.5</v>
      </c>
      <c r="CA140" s="1947">
        <v>0.5</v>
      </c>
      <c r="CB140" s="1948"/>
      <c r="CC140" s="2002"/>
      <c r="CD140" s="2002"/>
      <c r="CE140" s="2305"/>
      <c r="CG140" s="1940" t="s">
        <v>3574</v>
      </c>
      <c r="CH140" s="1944" t="s">
        <v>3575</v>
      </c>
      <c r="CI140" s="1941" t="s">
        <v>3576</v>
      </c>
      <c r="CJ140" s="2943">
        <f t="shared" si="59"/>
        <v>0.5</v>
      </c>
      <c r="CK140" s="2943">
        <f t="shared" si="59"/>
        <v>0.5</v>
      </c>
      <c r="CL140" s="2943">
        <f t="shared" si="59"/>
        <v>0.5</v>
      </c>
      <c r="CM140" s="2943">
        <f t="shared" si="59"/>
        <v>0.5</v>
      </c>
      <c r="CN140" s="2943">
        <f t="shared" si="59"/>
        <v>0.5</v>
      </c>
      <c r="CO140" s="2943">
        <f t="shared" si="59"/>
        <v>0.5</v>
      </c>
      <c r="CP140" s="2943">
        <f t="shared" si="59"/>
        <v>0</v>
      </c>
      <c r="CQ140" s="2943">
        <f t="shared" si="59"/>
        <v>0.5</v>
      </c>
      <c r="CR140" s="2943">
        <f t="shared" si="59"/>
        <v>0.5</v>
      </c>
      <c r="CS140" s="2943">
        <f t="shared" si="59"/>
        <v>0.5</v>
      </c>
      <c r="CT140" s="2947">
        <f t="shared" si="57"/>
        <v>0</v>
      </c>
      <c r="CU140" s="2979">
        <f t="shared" si="57"/>
        <v>0</v>
      </c>
      <c r="CV140" s="2979">
        <f t="shared" si="57"/>
        <v>0</v>
      </c>
      <c r="CW140" s="2445"/>
      <c r="CX140" s="1940" t="s">
        <v>3577</v>
      </c>
      <c r="CY140" s="1944" t="s">
        <v>3578</v>
      </c>
      <c r="CZ140" s="1941" t="s">
        <v>3576</v>
      </c>
      <c r="DA140" s="2945">
        <f t="shared" si="41"/>
        <v>0.5</v>
      </c>
      <c r="DB140" s="2945"/>
      <c r="DC140" s="2945"/>
      <c r="DD140" s="2945"/>
      <c r="DE140" s="2945"/>
      <c r="DF140" s="2945"/>
      <c r="DG140" s="2945"/>
      <c r="DH140" s="2945"/>
      <c r="DI140" s="2945"/>
      <c r="DJ140" s="2945"/>
      <c r="DK140" s="2949"/>
      <c r="DL140" s="2982"/>
      <c r="DM140" s="2982"/>
    </row>
    <row r="141" spans="1:117">
      <c r="B141" s="1914" t="str">
        <f>P141</f>
        <v>4.1.2</v>
      </c>
      <c r="C141" s="1941" t="str">
        <f>R141</f>
        <v>運用管理体制</v>
      </c>
      <c r="D141" s="1927">
        <f>IF(I$139&gt;0,G141/I$139,0)</f>
        <v>0.5</v>
      </c>
      <c r="E141" s="1927">
        <f>IF(J$139&gt;0,H141/J$139,0)</f>
        <v>0</v>
      </c>
      <c r="G141" s="1939">
        <f t="shared" si="50"/>
        <v>0.49212598425196852</v>
      </c>
      <c r="H141" s="1939">
        <f t="shared" si="51"/>
        <v>0</v>
      </c>
      <c r="I141" s="1939"/>
      <c r="J141" s="1939"/>
      <c r="K141" s="1939">
        <f>IF(スコア!Q141=0,0,1)</f>
        <v>1</v>
      </c>
      <c r="L141" s="1939">
        <f>IF(スコア!T141=0,0,1)</f>
        <v>0</v>
      </c>
      <c r="M141" s="1939">
        <f t="shared" si="63"/>
        <v>0.49212598425196852</v>
      </c>
      <c r="N141" s="1939">
        <f t="shared" si="64"/>
        <v>0</v>
      </c>
      <c r="P141" s="1940" t="str">
        <f t="shared" si="56"/>
        <v>4.1.2</v>
      </c>
      <c r="Q141" s="1940" t="str">
        <f t="shared" si="56"/>
        <v>LR1 4.1</v>
      </c>
      <c r="R141" s="1941" t="str">
        <f t="shared" si="56"/>
        <v>運用管理体制</v>
      </c>
      <c r="S141" s="1942">
        <f t="shared" si="56"/>
        <v>0.5</v>
      </c>
      <c r="T141" s="1942">
        <f t="shared" si="56"/>
        <v>0.5</v>
      </c>
      <c r="U141" s="1942">
        <f t="shared" si="56"/>
        <v>0.5</v>
      </c>
      <c r="V141" s="1942">
        <f t="shared" si="54"/>
        <v>0.5</v>
      </c>
      <c r="W141" s="1942">
        <f t="shared" si="54"/>
        <v>0.5</v>
      </c>
      <c r="X141" s="1942">
        <f t="shared" si="54"/>
        <v>0.5</v>
      </c>
      <c r="Y141" s="1942">
        <f t="shared" si="54"/>
        <v>0</v>
      </c>
      <c r="Z141" s="1951">
        <f t="shared" si="55"/>
        <v>0.5</v>
      </c>
      <c r="AA141" s="1942">
        <f t="shared" si="55"/>
        <v>0.5</v>
      </c>
      <c r="AB141" s="1942">
        <f t="shared" si="55"/>
        <v>0.5</v>
      </c>
      <c r="AC141" s="1943">
        <f t="shared" si="55"/>
        <v>0</v>
      </c>
      <c r="AD141" s="2000">
        <f t="shared" si="55"/>
        <v>0</v>
      </c>
      <c r="AE141" s="2000">
        <f t="shared" si="55"/>
        <v>0</v>
      </c>
      <c r="AG141" s="1940" t="s">
        <v>1316</v>
      </c>
      <c r="AH141" s="1944" t="s">
        <v>1320</v>
      </c>
      <c r="AI141" s="1945" t="s">
        <v>1048</v>
      </c>
      <c r="AJ141" s="1947">
        <v>0.5</v>
      </c>
      <c r="AK141" s="1947">
        <v>0.5</v>
      </c>
      <c r="AL141" s="1947">
        <v>0.5</v>
      </c>
      <c r="AM141" s="1947">
        <v>0.5</v>
      </c>
      <c r="AN141" s="1947">
        <v>0.5</v>
      </c>
      <c r="AO141" s="1947">
        <v>0.5</v>
      </c>
      <c r="AP141" s="1947"/>
      <c r="AQ141" s="1947">
        <v>0.5</v>
      </c>
      <c r="AR141" s="1947">
        <v>0.5</v>
      </c>
      <c r="AS141" s="1947">
        <v>0.5</v>
      </c>
      <c r="AT141" s="1948"/>
      <c r="AU141" s="2002"/>
      <c r="AV141" s="2002"/>
      <c r="AX141" s="1940" t="s">
        <v>1316</v>
      </c>
      <c r="AY141" s="1944" t="s">
        <v>1320</v>
      </c>
      <c r="AZ141" s="1945" t="s">
        <v>1048</v>
      </c>
      <c r="BA141" s="1947">
        <v>0.5</v>
      </c>
      <c r="BB141" s="1947">
        <v>0.5</v>
      </c>
      <c r="BC141" s="1947">
        <v>0.5</v>
      </c>
      <c r="BD141" s="1947">
        <v>0.5</v>
      </c>
      <c r="BE141" s="1947">
        <v>0.5</v>
      </c>
      <c r="BF141" s="1947">
        <v>0.5</v>
      </c>
      <c r="BG141" s="1947"/>
      <c r="BH141" s="1947">
        <v>0.5</v>
      </c>
      <c r="BI141" s="1947">
        <v>0.5</v>
      </c>
      <c r="BJ141" s="1947">
        <v>0.5</v>
      </c>
      <c r="BK141" s="1948"/>
      <c r="BL141" s="2002"/>
      <c r="BM141" s="2002"/>
      <c r="BO141" s="1940" t="s">
        <v>3683</v>
      </c>
      <c r="BP141" s="1944" t="s">
        <v>3716</v>
      </c>
      <c r="BQ141" s="1945" t="s">
        <v>3759</v>
      </c>
      <c r="BR141" s="1947">
        <v>0.5</v>
      </c>
      <c r="BS141" s="1947">
        <v>0.5</v>
      </c>
      <c r="BT141" s="1947">
        <v>0.5</v>
      </c>
      <c r="BU141" s="1947">
        <v>0.5</v>
      </c>
      <c r="BV141" s="1947">
        <v>0.5</v>
      </c>
      <c r="BW141" s="1947">
        <v>0.5</v>
      </c>
      <c r="BX141" s="1947"/>
      <c r="BY141" s="1947">
        <v>0.5</v>
      </c>
      <c r="BZ141" s="1947">
        <v>0.5</v>
      </c>
      <c r="CA141" s="1947">
        <v>0.5</v>
      </c>
      <c r="CB141" s="1948"/>
      <c r="CC141" s="2002"/>
      <c r="CD141" s="2002"/>
      <c r="CE141" s="2305"/>
      <c r="CG141" s="1940" t="s">
        <v>3579</v>
      </c>
      <c r="CH141" s="1944" t="s">
        <v>3578</v>
      </c>
      <c r="CI141" s="1945" t="s">
        <v>1048</v>
      </c>
      <c r="CJ141" s="2943">
        <f t="shared" si="59"/>
        <v>0.5</v>
      </c>
      <c r="CK141" s="2943">
        <f t="shared" si="59"/>
        <v>0.5</v>
      </c>
      <c r="CL141" s="2943">
        <f t="shared" si="59"/>
        <v>0.5</v>
      </c>
      <c r="CM141" s="2943">
        <f t="shared" si="59"/>
        <v>0.5</v>
      </c>
      <c r="CN141" s="2943">
        <f t="shared" si="59"/>
        <v>0.5</v>
      </c>
      <c r="CO141" s="2943">
        <f t="shared" ref="CO141:CV194" si="65">BW141</f>
        <v>0.5</v>
      </c>
      <c r="CP141" s="2943">
        <f t="shared" si="65"/>
        <v>0</v>
      </c>
      <c r="CQ141" s="2943">
        <f t="shared" si="65"/>
        <v>0.5</v>
      </c>
      <c r="CR141" s="2943">
        <f t="shared" si="65"/>
        <v>0.5</v>
      </c>
      <c r="CS141" s="2943">
        <f t="shared" si="65"/>
        <v>0.5</v>
      </c>
      <c r="CT141" s="2947">
        <f t="shared" si="57"/>
        <v>0</v>
      </c>
      <c r="CU141" s="2979">
        <f t="shared" si="57"/>
        <v>0</v>
      </c>
      <c r="CV141" s="2979">
        <f t="shared" si="57"/>
        <v>0</v>
      </c>
      <c r="CW141" s="2445"/>
      <c r="CX141" s="1940" t="s">
        <v>3579</v>
      </c>
      <c r="CY141" s="1944" t="s">
        <v>3578</v>
      </c>
      <c r="CZ141" s="1945" t="s">
        <v>1048</v>
      </c>
      <c r="DA141" s="2945">
        <f t="shared" ref="DA141:DA190" si="66">BR141</f>
        <v>0.5</v>
      </c>
      <c r="DB141" s="2945"/>
      <c r="DC141" s="2945"/>
      <c r="DD141" s="2945"/>
      <c r="DE141" s="2945"/>
      <c r="DF141" s="2945"/>
      <c r="DG141" s="2945"/>
      <c r="DH141" s="2945"/>
      <c r="DI141" s="2945"/>
      <c r="DJ141" s="2945"/>
      <c r="DK141" s="2949"/>
      <c r="DL141" s="2982"/>
      <c r="DM141" s="2982"/>
    </row>
    <row r="142" spans="1:117" s="2015" customFormat="1">
      <c r="A142"/>
      <c r="B142" s="1914">
        <f>P142</f>
        <v>4.2</v>
      </c>
      <c r="C142" s="1941" t="str">
        <f>R142</f>
        <v>住宅の評価</v>
      </c>
      <c r="D142" s="1938">
        <f>IF(I$138=0,0,G142/I$138)</f>
        <v>1.5748031496062992E-2</v>
      </c>
      <c r="E142" s="1938">
        <f>IF(J$138=0,0,H142/J$138)</f>
        <v>0</v>
      </c>
      <c r="F142"/>
      <c r="G142" s="1939">
        <f t="shared" ref="G142:H144" si="67">K142*M142</f>
        <v>1.5748031496062992E-2</v>
      </c>
      <c r="H142" s="1939">
        <f t="shared" si="67"/>
        <v>0</v>
      </c>
      <c r="I142" s="1939">
        <f>SUM(G143:G144)</f>
        <v>1.5748031496062992E-2</v>
      </c>
      <c r="J142" s="1939">
        <f>SUM(H143:H144)</f>
        <v>0</v>
      </c>
      <c r="K142" s="1939">
        <f>IF(スコア!Q142=0,0,1)</f>
        <v>1</v>
      </c>
      <c r="L142" s="1939">
        <f>IF(スコア!T142=0,0,1)</f>
        <v>0</v>
      </c>
      <c r="M142" s="1939">
        <f t="shared" si="63"/>
        <v>1.5748031496062992E-2</v>
      </c>
      <c r="N142" s="1939">
        <f t="shared" si="64"/>
        <v>0</v>
      </c>
      <c r="O142"/>
      <c r="P142" s="1940">
        <f t="shared" si="56"/>
        <v>4.2</v>
      </c>
      <c r="Q142" s="1940" t="str">
        <f t="shared" si="56"/>
        <v>LR1 4</v>
      </c>
      <c r="R142" s="1941" t="str">
        <f t="shared" si="56"/>
        <v>住宅の評価</v>
      </c>
      <c r="S142" s="1942">
        <f t="shared" si="56"/>
        <v>0</v>
      </c>
      <c r="T142" s="1942">
        <f t="shared" si="56"/>
        <v>0</v>
      </c>
      <c r="U142" s="1942">
        <f t="shared" si="56"/>
        <v>0</v>
      </c>
      <c r="V142" s="1942">
        <f t="shared" si="54"/>
        <v>0</v>
      </c>
      <c r="W142" s="1942">
        <f t="shared" si="54"/>
        <v>0</v>
      </c>
      <c r="X142" s="1942">
        <f t="shared" si="54"/>
        <v>0</v>
      </c>
      <c r="Y142" s="1942">
        <f t="shared" si="54"/>
        <v>1</v>
      </c>
      <c r="Z142" s="1951">
        <f t="shared" si="55"/>
        <v>0</v>
      </c>
      <c r="AA142" s="1942">
        <f t="shared" si="55"/>
        <v>0</v>
      </c>
      <c r="AB142" s="1942">
        <f t="shared" si="55"/>
        <v>0</v>
      </c>
      <c r="AC142" s="1943">
        <f t="shared" si="55"/>
        <v>0</v>
      </c>
      <c r="AD142" s="2000">
        <f t="shared" si="55"/>
        <v>0</v>
      </c>
      <c r="AE142" s="2000">
        <f t="shared" si="55"/>
        <v>0</v>
      </c>
      <c r="AF142"/>
      <c r="AG142" s="1940">
        <v>4.2</v>
      </c>
      <c r="AH142" s="1944" t="s">
        <v>134</v>
      </c>
      <c r="AI142" s="1945" t="s">
        <v>1323</v>
      </c>
      <c r="AJ142" s="1947"/>
      <c r="AK142" s="1947"/>
      <c r="AL142" s="1947"/>
      <c r="AM142" s="1947"/>
      <c r="AN142" s="1947"/>
      <c r="AO142" s="1947"/>
      <c r="AP142" s="1947">
        <v>1</v>
      </c>
      <c r="AQ142" s="1954"/>
      <c r="AR142" s="1947"/>
      <c r="AS142" s="1947"/>
      <c r="AT142" s="1948"/>
      <c r="AU142" s="2002"/>
      <c r="AV142" s="2002"/>
      <c r="AW142"/>
      <c r="AX142" s="1940">
        <v>4.2</v>
      </c>
      <c r="AY142" s="1944" t="s">
        <v>134</v>
      </c>
      <c r="AZ142" s="1945" t="s">
        <v>1323</v>
      </c>
      <c r="BA142" s="1947"/>
      <c r="BB142" s="1947"/>
      <c r="BC142" s="1947"/>
      <c r="BD142" s="1947"/>
      <c r="BE142" s="1947"/>
      <c r="BF142" s="1947"/>
      <c r="BG142" s="1947">
        <v>1</v>
      </c>
      <c r="BH142" s="1954"/>
      <c r="BI142" s="1947"/>
      <c r="BJ142" s="1947"/>
      <c r="BK142" s="1948"/>
      <c r="BL142" s="2002"/>
      <c r="BM142" s="2002"/>
      <c r="BN142"/>
      <c r="BO142" s="1940">
        <v>4.2</v>
      </c>
      <c r="BP142" s="1944" t="s">
        <v>134</v>
      </c>
      <c r="BQ142" s="1945" t="s">
        <v>3760</v>
      </c>
      <c r="BR142" s="1947"/>
      <c r="BS142" s="1947"/>
      <c r="BT142" s="1947"/>
      <c r="BU142" s="1947"/>
      <c r="BV142" s="1947"/>
      <c r="BW142" s="1947"/>
      <c r="BX142" s="1947">
        <v>1</v>
      </c>
      <c r="BY142" s="1954"/>
      <c r="BZ142" s="1947"/>
      <c r="CA142" s="1947"/>
      <c r="CB142" s="1948"/>
      <c r="CC142" s="2002"/>
      <c r="CD142" s="2002"/>
      <c r="CE142" s="2305"/>
      <c r="CF142"/>
      <c r="CG142" s="1940">
        <v>4.2</v>
      </c>
      <c r="CH142" s="1944" t="s">
        <v>134</v>
      </c>
      <c r="CI142" s="1945" t="s">
        <v>3580</v>
      </c>
      <c r="CJ142" s="2943">
        <f t="shared" ref="CJ142:CS194" si="68">BR142</f>
        <v>0</v>
      </c>
      <c r="CK142" s="2943">
        <f t="shared" si="68"/>
        <v>0</v>
      </c>
      <c r="CL142" s="2943">
        <f t="shared" si="68"/>
        <v>0</v>
      </c>
      <c r="CM142" s="2943">
        <f t="shared" si="68"/>
        <v>0</v>
      </c>
      <c r="CN142" s="2943">
        <f t="shared" si="68"/>
        <v>0</v>
      </c>
      <c r="CO142" s="2943">
        <f t="shared" si="65"/>
        <v>0</v>
      </c>
      <c r="CP142" s="2943">
        <f t="shared" si="65"/>
        <v>1</v>
      </c>
      <c r="CQ142" s="2967">
        <f t="shared" si="65"/>
        <v>0</v>
      </c>
      <c r="CR142" s="2943">
        <f t="shared" si="65"/>
        <v>0</v>
      </c>
      <c r="CS142" s="2943">
        <f t="shared" si="65"/>
        <v>0</v>
      </c>
      <c r="CT142" s="2947">
        <f t="shared" si="57"/>
        <v>0</v>
      </c>
      <c r="CU142" s="2979">
        <f t="shared" si="57"/>
        <v>0</v>
      </c>
      <c r="CV142" s="2979">
        <f t="shared" si="57"/>
        <v>0</v>
      </c>
      <c r="CW142" s="2445"/>
      <c r="CX142" s="1940">
        <v>4.2</v>
      </c>
      <c r="CY142" s="1944" t="s">
        <v>134</v>
      </c>
      <c r="CZ142" s="1945" t="s">
        <v>3580</v>
      </c>
      <c r="DA142" s="2945">
        <f t="shared" si="66"/>
        <v>0</v>
      </c>
      <c r="DB142" s="2945"/>
      <c r="DC142" s="2945"/>
      <c r="DD142" s="2945"/>
      <c r="DE142" s="2945"/>
      <c r="DF142" s="2945"/>
      <c r="DG142" s="2945"/>
      <c r="DH142" s="2968"/>
      <c r="DI142" s="2945"/>
      <c r="DJ142" s="2945"/>
      <c r="DK142" s="2949"/>
      <c r="DL142" s="2982"/>
      <c r="DM142" s="2982"/>
    </row>
    <row r="143" spans="1:117" s="2015" customFormat="1">
      <c r="A143"/>
      <c r="B143" s="1914" t="str">
        <f>P143</f>
        <v>4.2.1</v>
      </c>
      <c r="C143" s="1941" t="str">
        <f>R143</f>
        <v>モニタリング</v>
      </c>
      <c r="D143" s="1927">
        <f>IF(I$142&gt;0,G143/I$142,0)</f>
        <v>0.5</v>
      </c>
      <c r="E143" s="1927">
        <f>IF(J$142&gt;0,H143/J$142,0)</f>
        <v>0</v>
      </c>
      <c r="F143"/>
      <c r="G143" s="1939">
        <f t="shared" si="67"/>
        <v>7.874015748031496E-3</v>
      </c>
      <c r="H143" s="1939">
        <f t="shared" si="67"/>
        <v>0</v>
      </c>
      <c r="I143" s="1939"/>
      <c r="J143" s="1939"/>
      <c r="K143" s="1939">
        <f>IF(スコア!Q143=0,0,1)</f>
        <v>1</v>
      </c>
      <c r="L143" s="1939">
        <f>IF(スコア!T143=0,0,1)</f>
        <v>0</v>
      </c>
      <c r="M143" s="1939">
        <f t="shared" si="63"/>
        <v>7.874015748031496E-3</v>
      </c>
      <c r="N143" s="1939">
        <f t="shared" si="64"/>
        <v>0</v>
      </c>
      <c r="O143"/>
      <c r="P143" s="1940" t="str">
        <f t="shared" si="56"/>
        <v>4.2.1</v>
      </c>
      <c r="Q143" s="1940" t="str">
        <f t="shared" si="56"/>
        <v>LR1 4.2</v>
      </c>
      <c r="R143" s="1941" t="str">
        <f t="shared" si="56"/>
        <v>モニタリング</v>
      </c>
      <c r="S143" s="1942">
        <f t="shared" si="56"/>
        <v>0</v>
      </c>
      <c r="T143" s="1942">
        <f t="shared" si="56"/>
        <v>0</v>
      </c>
      <c r="U143" s="1942">
        <f t="shared" si="56"/>
        <v>0</v>
      </c>
      <c r="V143" s="1942">
        <f t="shared" si="54"/>
        <v>0</v>
      </c>
      <c r="W143" s="1942">
        <f t="shared" si="54"/>
        <v>0</v>
      </c>
      <c r="X143" s="1942">
        <f t="shared" si="54"/>
        <v>0</v>
      </c>
      <c r="Y143" s="1942">
        <f t="shared" si="54"/>
        <v>0.5</v>
      </c>
      <c r="Z143" s="1951">
        <f t="shared" si="55"/>
        <v>0</v>
      </c>
      <c r="AA143" s="1942">
        <f t="shared" si="55"/>
        <v>0</v>
      </c>
      <c r="AB143" s="1942">
        <f t="shared" si="55"/>
        <v>0</v>
      </c>
      <c r="AC143" s="1943">
        <f t="shared" si="55"/>
        <v>0</v>
      </c>
      <c r="AD143" s="2000">
        <f t="shared" si="55"/>
        <v>0</v>
      </c>
      <c r="AE143" s="2000">
        <f t="shared" si="55"/>
        <v>0</v>
      </c>
      <c r="AF143"/>
      <c r="AG143" s="1940" t="s">
        <v>1317</v>
      </c>
      <c r="AH143" s="1944" t="s">
        <v>1321</v>
      </c>
      <c r="AI143" s="1945" t="s">
        <v>1311</v>
      </c>
      <c r="AJ143" s="1947"/>
      <c r="AK143" s="1947"/>
      <c r="AL143" s="1947"/>
      <c r="AM143" s="1947"/>
      <c r="AN143" s="1947"/>
      <c r="AO143" s="1947"/>
      <c r="AP143" s="1947">
        <v>0.5</v>
      </c>
      <c r="AQ143" s="1954"/>
      <c r="AR143" s="1947"/>
      <c r="AS143" s="1947"/>
      <c r="AT143" s="1948"/>
      <c r="AU143" s="2002"/>
      <c r="AV143" s="2002"/>
      <c r="AW143"/>
      <c r="AX143" s="1940" t="s">
        <v>1317</v>
      </c>
      <c r="AY143" s="1944" t="s">
        <v>1321</v>
      </c>
      <c r="AZ143" s="1945" t="s">
        <v>826</v>
      </c>
      <c r="BA143" s="1947"/>
      <c r="BB143" s="1947"/>
      <c r="BC143" s="1947"/>
      <c r="BD143" s="1947"/>
      <c r="BE143" s="1947"/>
      <c r="BF143" s="1947"/>
      <c r="BG143" s="1947">
        <v>0.5</v>
      </c>
      <c r="BH143" s="1954"/>
      <c r="BI143" s="1947"/>
      <c r="BJ143" s="1947"/>
      <c r="BK143" s="1948"/>
      <c r="BL143" s="2002"/>
      <c r="BM143" s="2002"/>
      <c r="BN143"/>
      <c r="BO143" s="1940" t="s">
        <v>3686</v>
      </c>
      <c r="BP143" s="1944" t="s">
        <v>3717</v>
      </c>
      <c r="BQ143" s="1945" t="s">
        <v>3658</v>
      </c>
      <c r="BR143" s="1947"/>
      <c r="BS143" s="1947"/>
      <c r="BT143" s="1947"/>
      <c r="BU143" s="1947"/>
      <c r="BV143" s="1947"/>
      <c r="BW143" s="1947"/>
      <c r="BX143" s="1947">
        <v>0.5</v>
      </c>
      <c r="BY143" s="1954"/>
      <c r="BZ143" s="1947"/>
      <c r="CA143" s="1947"/>
      <c r="CB143" s="1948"/>
      <c r="CC143" s="2002"/>
      <c r="CD143" s="2002"/>
      <c r="CE143" s="2305"/>
      <c r="CF143"/>
      <c r="CG143" s="1940" t="s">
        <v>3581</v>
      </c>
      <c r="CH143" s="1944" t="s">
        <v>3582</v>
      </c>
      <c r="CI143" s="1945" t="s">
        <v>3583</v>
      </c>
      <c r="CJ143" s="2943">
        <f t="shared" si="68"/>
        <v>0</v>
      </c>
      <c r="CK143" s="2943">
        <f t="shared" si="68"/>
        <v>0</v>
      </c>
      <c r="CL143" s="2943">
        <f t="shared" si="68"/>
        <v>0</v>
      </c>
      <c r="CM143" s="2943">
        <f t="shared" si="68"/>
        <v>0</v>
      </c>
      <c r="CN143" s="2943">
        <f t="shared" si="68"/>
        <v>0</v>
      </c>
      <c r="CO143" s="2943">
        <f t="shared" si="65"/>
        <v>0</v>
      </c>
      <c r="CP143" s="2943">
        <f t="shared" si="65"/>
        <v>0.5</v>
      </c>
      <c r="CQ143" s="2967">
        <f t="shared" si="65"/>
        <v>0</v>
      </c>
      <c r="CR143" s="2943">
        <f t="shared" si="65"/>
        <v>0</v>
      </c>
      <c r="CS143" s="2943">
        <f t="shared" si="65"/>
        <v>0</v>
      </c>
      <c r="CT143" s="2947">
        <f t="shared" si="57"/>
        <v>0</v>
      </c>
      <c r="CU143" s="2979">
        <f t="shared" si="57"/>
        <v>0</v>
      </c>
      <c r="CV143" s="2979">
        <f t="shared" si="57"/>
        <v>0</v>
      </c>
      <c r="CW143" s="2445"/>
      <c r="CX143" s="1940" t="s">
        <v>3581</v>
      </c>
      <c r="CY143" s="1944" t="s">
        <v>3582</v>
      </c>
      <c r="CZ143" s="1945" t="s">
        <v>3583</v>
      </c>
      <c r="DA143" s="2945">
        <f t="shared" si="66"/>
        <v>0</v>
      </c>
      <c r="DB143" s="2945"/>
      <c r="DC143" s="2945"/>
      <c r="DD143" s="2945"/>
      <c r="DE143" s="2945"/>
      <c r="DF143" s="2945"/>
      <c r="DG143" s="2945"/>
      <c r="DH143" s="2968"/>
      <c r="DI143" s="2945"/>
      <c r="DJ143" s="2945"/>
      <c r="DK143" s="2949"/>
      <c r="DL143" s="2982"/>
      <c r="DM143" s="2982"/>
    </row>
    <row r="144" spans="1:117" s="2015" customFormat="1">
      <c r="A144"/>
      <c r="B144" s="1914" t="str">
        <f>P144</f>
        <v>4.2.2</v>
      </c>
      <c r="C144" s="1941" t="str">
        <f>R144</f>
        <v>運用管理体制</v>
      </c>
      <c r="D144" s="1927">
        <f>IF(I$142&gt;0,G144/I$142,0)</f>
        <v>0.5</v>
      </c>
      <c r="E144" s="1927">
        <f>IF(J$142&gt;0,H144/J$142,0)</f>
        <v>0</v>
      </c>
      <c r="F144"/>
      <c r="G144" s="1939">
        <f t="shared" si="67"/>
        <v>7.874015748031496E-3</v>
      </c>
      <c r="H144" s="1939">
        <f t="shared" si="67"/>
        <v>0</v>
      </c>
      <c r="I144" s="1939"/>
      <c r="J144" s="1939"/>
      <c r="K144" s="1939">
        <f>IF(スコア!Q144=0,0,1)</f>
        <v>1</v>
      </c>
      <c r="L144" s="1939">
        <f>IF(スコア!T144=0,0,1)</f>
        <v>0</v>
      </c>
      <c r="M144" s="1939">
        <f t="shared" si="63"/>
        <v>7.874015748031496E-3</v>
      </c>
      <c r="N144" s="1939">
        <f t="shared" si="64"/>
        <v>0</v>
      </c>
      <c r="O144"/>
      <c r="P144" s="1940" t="str">
        <f t="shared" si="56"/>
        <v>4.2.2</v>
      </c>
      <c r="Q144" s="1940" t="str">
        <f t="shared" si="56"/>
        <v>LR1 4.2</v>
      </c>
      <c r="R144" s="1941" t="str">
        <f t="shared" si="56"/>
        <v>運用管理体制</v>
      </c>
      <c r="S144" s="1942">
        <f t="shared" si="56"/>
        <v>0</v>
      </c>
      <c r="T144" s="1942">
        <f t="shared" si="56"/>
        <v>0</v>
      </c>
      <c r="U144" s="1942">
        <f t="shared" si="56"/>
        <v>0</v>
      </c>
      <c r="V144" s="1942">
        <f t="shared" si="54"/>
        <v>0</v>
      </c>
      <c r="W144" s="1942">
        <f t="shared" si="54"/>
        <v>0</v>
      </c>
      <c r="X144" s="1942">
        <f t="shared" si="54"/>
        <v>0</v>
      </c>
      <c r="Y144" s="1942">
        <f t="shared" si="54"/>
        <v>0.5</v>
      </c>
      <c r="Z144" s="1951">
        <f t="shared" si="55"/>
        <v>0</v>
      </c>
      <c r="AA144" s="1942">
        <f t="shared" si="55"/>
        <v>0</v>
      </c>
      <c r="AB144" s="1942">
        <f t="shared" si="55"/>
        <v>0</v>
      </c>
      <c r="AC144" s="1943">
        <f t="shared" si="55"/>
        <v>0</v>
      </c>
      <c r="AD144" s="2000">
        <f t="shared" si="55"/>
        <v>0</v>
      </c>
      <c r="AE144" s="2000">
        <f t="shared" si="55"/>
        <v>0</v>
      </c>
      <c r="AF144"/>
      <c r="AG144" s="1940" t="s">
        <v>1318</v>
      </c>
      <c r="AH144" s="1944" t="s">
        <v>1321</v>
      </c>
      <c r="AI144" s="1945" t="s">
        <v>1312</v>
      </c>
      <c r="AJ144" s="1947"/>
      <c r="AK144" s="1947"/>
      <c r="AL144" s="1947"/>
      <c r="AM144" s="1947"/>
      <c r="AN144" s="1947"/>
      <c r="AO144" s="1947"/>
      <c r="AP144" s="1947">
        <v>0.5</v>
      </c>
      <c r="AQ144" s="1954"/>
      <c r="AR144" s="1947"/>
      <c r="AS144" s="1947"/>
      <c r="AT144" s="1948"/>
      <c r="AU144" s="2002"/>
      <c r="AV144" s="2002"/>
      <c r="AW144"/>
      <c r="AX144" s="1940" t="s">
        <v>1318</v>
      </c>
      <c r="AY144" s="1944" t="s">
        <v>1321</v>
      </c>
      <c r="AZ144" s="1945" t="s">
        <v>827</v>
      </c>
      <c r="BA144" s="1947"/>
      <c r="BB144" s="1947"/>
      <c r="BC144" s="1947"/>
      <c r="BD144" s="1947"/>
      <c r="BE144" s="1947"/>
      <c r="BF144" s="1947"/>
      <c r="BG144" s="1947">
        <v>0.5</v>
      </c>
      <c r="BH144" s="1954"/>
      <c r="BI144" s="1947"/>
      <c r="BJ144" s="1947"/>
      <c r="BK144" s="1948"/>
      <c r="BL144" s="2002"/>
      <c r="BM144" s="2002"/>
      <c r="BN144"/>
      <c r="BO144" s="1940" t="s">
        <v>3687</v>
      </c>
      <c r="BP144" s="1944" t="s">
        <v>3717</v>
      </c>
      <c r="BQ144" s="1945" t="s">
        <v>3759</v>
      </c>
      <c r="BR144" s="1947"/>
      <c r="BS144" s="1947"/>
      <c r="BT144" s="1947"/>
      <c r="BU144" s="1947"/>
      <c r="BV144" s="1947"/>
      <c r="BW144" s="1947"/>
      <c r="BX144" s="1947">
        <v>0.5</v>
      </c>
      <c r="BY144" s="1954"/>
      <c r="BZ144" s="1947"/>
      <c r="CA144" s="1947"/>
      <c r="CB144" s="1948"/>
      <c r="CC144" s="2002"/>
      <c r="CD144" s="2002"/>
      <c r="CE144" s="2305"/>
      <c r="CF144"/>
      <c r="CG144" s="1940" t="s">
        <v>3584</v>
      </c>
      <c r="CH144" s="1944" t="s">
        <v>3582</v>
      </c>
      <c r="CI144" s="1945" t="s">
        <v>827</v>
      </c>
      <c r="CJ144" s="2943">
        <f t="shared" si="68"/>
        <v>0</v>
      </c>
      <c r="CK144" s="2943">
        <f t="shared" si="68"/>
        <v>0</v>
      </c>
      <c r="CL144" s="2943">
        <f t="shared" si="68"/>
        <v>0</v>
      </c>
      <c r="CM144" s="2943">
        <f t="shared" si="68"/>
        <v>0</v>
      </c>
      <c r="CN144" s="2943">
        <f t="shared" si="68"/>
        <v>0</v>
      </c>
      <c r="CO144" s="2943">
        <f t="shared" si="65"/>
        <v>0</v>
      </c>
      <c r="CP144" s="2943">
        <f t="shared" si="65"/>
        <v>0.5</v>
      </c>
      <c r="CQ144" s="2967">
        <f t="shared" si="65"/>
        <v>0</v>
      </c>
      <c r="CR144" s="2943">
        <f t="shared" si="65"/>
        <v>0</v>
      </c>
      <c r="CS144" s="2943">
        <f t="shared" si="65"/>
        <v>0</v>
      </c>
      <c r="CT144" s="2947">
        <f t="shared" si="57"/>
        <v>0</v>
      </c>
      <c r="CU144" s="2979">
        <f t="shared" si="57"/>
        <v>0</v>
      </c>
      <c r="CV144" s="2979">
        <f t="shared" si="57"/>
        <v>0</v>
      </c>
      <c r="CW144" s="2445"/>
      <c r="CX144" s="1940" t="s">
        <v>3584</v>
      </c>
      <c r="CY144" s="1944" t="s">
        <v>3582</v>
      </c>
      <c r="CZ144" s="1945" t="s">
        <v>827</v>
      </c>
      <c r="DA144" s="2945">
        <f t="shared" si="66"/>
        <v>0</v>
      </c>
      <c r="DB144" s="2945"/>
      <c r="DC144" s="2945"/>
      <c r="DD144" s="2945"/>
      <c r="DE144" s="2945"/>
      <c r="DF144" s="2945"/>
      <c r="DG144" s="2945"/>
      <c r="DH144" s="2968"/>
      <c r="DI144" s="2945"/>
      <c r="DJ144" s="2945"/>
      <c r="DK144" s="2949"/>
      <c r="DL144" s="2982"/>
      <c r="DM144" s="2982"/>
    </row>
    <row r="145" spans="1:117" s="1328" customFormat="1">
      <c r="A145"/>
      <c r="B145" s="1914" t="str">
        <f t="shared" si="53"/>
        <v>LR2</v>
      </c>
      <c r="C145" s="1918" t="str">
        <f t="shared" si="49"/>
        <v>資源・マテリアル</v>
      </c>
      <c r="D145" s="2010" t="e">
        <f>IF(I$121=0,0,G145/I$121)</f>
        <v>#DIV/0!</v>
      </c>
      <c r="E145" s="1917">
        <f>IF(J$121=0,0,H145/J$121)</f>
        <v>0</v>
      </c>
      <c r="F145"/>
      <c r="G145" s="1917">
        <f t="shared" si="50"/>
        <v>0.3</v>
      </c>
      <c r="H145" s="1917">
        <f t="shared" si="51"/>
        <v>0</v>
      </c>
      <c r="I145" s="1917">
        <f>G146+G151+G166</f>
        <v>1</v>
      </c>
      <c r="J145" s="1917">
        <f>H146+H151+H166</f>
        <v>0</v>
      </c>
      <c r="K145" s="1917">
        <f>IF(スコア!V145=0,0,1)</f>
        <v>1</v>
      </c>
      <c r="L145" s="1917">
        <f>IF(スコア!T145=0,0,1)</f>
        <v>0</v>
      </c>
      <c r="M145" s="1917">
        <f t="shared" si="52"/>
        <v>0.3</v>
      </c>
      <c r="N145" s="1917">
        <f t="shared" si="61"/>
        <v>0</v>
      </c>
      <c r="O145"/>
      <c r="P145" s="2016" t="str">
        <f t="shared" si="56"/>
        <v>LR2</v>
      </c>
      <c r="Q145" s="2016" t="str">
        <f t="shared" si="56"/>
        <v>LR</v>
      </c>
      <c r="R145" s="1918" t="str">
        <f t="shared" si="56"/>
        <v>資源・マテリアル</v>
      </c>
      <c r="S145" s="1919">
        <f t="shared" si="56"/>
        <v>0.3</v>
      </c>
      <c r="T145" s="1919">
        <f t="shared" si="56"/>
        <v>0.3</v>
      </c>
      <c r="U145" s="1919">
        <f t="shared" si="56"/>
        <v>0.3</v>
      </c>
      <c r="V145" s="1919">
        <f t="shared" si="54"/>
        <v>0.3</v>
      </c>
      <c r="W145" s="1919">
        <f t="shared" si="54"/>
        <v>0.3</v>
      </c>
      <c r="X145" s="1919">
        <f t="shared" si="54"/>
        <v>0.3</v>
      </c>
      <c r="Y145" s="1919">
        <f t="shared" si="54"/>
        <v>0.3</v>
      </c>
      <c r="Z145" s="2017">
        <f t="shared" si="55"/>
        <v>0.3</v>
      </c>
      <c r="AA145" s="1919">
        <f t="shared" si="55"/>
        <v>0.3</v>
      </c>
      <c r="AB145" s="1919">
        <f t="shared" si="55"/>
        <v>0.3</v>
      </c>
      <c r="AC145" s="2018">
        <f t="shared" si="55"/>
        <v>0</v>
      </c>
      <c r="AD145" s="2019">
        <f t="shared" si="55"/>
        <v>0</v>
      </c>
      <c r="AE145" s="2019">
        <f t="shared" si="55"/>
        <v>0</v>
      </c>
      <c r="AF145"/>
      <c r="AG145" s="2016" t="s">
        <v>1583</v>
      </c>
      <c r="AH145" s="2020" t="s">
        <v>1172</v>
      </c>
      <c r="AI145" s="1918" t="s">
        <v>1584</v>
      </c>
      <c r="AJ145" s="1922">
        <v>0.3</v>
      </c>
      <c r="AK145" s="1922">
        <v>0.3</v>
      </c>
      <c r="AL145" s="1922">
        <v>0.3</v>
      </c>
      <c r="AM145" s="1922">
        <v>0.3</v>
      </c>
      <c r="AN145" s="1922">
        <v>0.3</v>
      </c>
      <c r="AO145" s="1922">
        <v>0.3</v>
      </c>
      <c r="AP145" s="1922">
        <v>0.3</v>
      </c>
      <c r="AQ145" s="2021">
        <v>0.3</v>
      </c>
      <c r="AR145" s="1922">
        <v>0.3</v>
      </c>
      <c r="AS145" s="1922">
        <v>0.3</v>
      </c>
      <c r="AT145" s="2022"/>
      <c r="AU145" s="2023"/>
      <c r="AV145" s="2023"/>
      <c r="AW145"/>
      <c r="AX145" s="2016" t="s">
        <v>1583</v>
      </c>
      <c r="AY145" s="2020" t="s">
        <v>1172</v>
      </c>
      <c r="AZ145" s="1918" t="s">
        <v>1584</v>
      </c>
      <c r="BA145" s="1922">
        <v>0.3</v>
      </c>
      <c r="BB145" s="1922">
        <v>0.3</v>
      </c>
      <c r="BC145" s="1922">
        <v>0.3</v>
      </c>
      <c r="BD145" s="1922">
        <v>0.3</v>
      </c>
      <c r="BE145" s="1922">
        <v>0.3</v>
      </c>
      <c r="BF145" s="1922">
        <v>0.3</v>
      </c>
      <c r="BG145" s="1922">
        <v>0.3</v>
      </c>
      <c r="BH145" s="2021">
        <v>0.3</v>
      </c>
      <c r="BI145" s="1922">
        <v>0.3</v>
      </c>
      <c r="BJ145" s="1922">
        <v>0.3</v>
      </c>
      <c r="BK145" s="2022"/>
      <c r="BL145" s="2023"/>
      <c r="BM145" s="2023"/>
      <c r="BN145"/>
      <c r="BO145" s="2016" t="s">
        <v>1304</v>
      </c>
      <c r="BP145" s="2020" t="s">
        <v>130</v>
      </c>
      <c r="BQ145" s="1918" t="s">
        <v>3659</v>
      </c>
      <c r="BR145" s="1922">
        <v>0.3</v>
      </c>
      <c r="BS145" s="1922">
        <v>0.3</v>
      </c>
      <c r="BT145" s="1922">
        <v>0.3</v>
      </c>
      <c r="BU145" s="1922">
        <v>0.3</v>
      </c>
      <c r="BV145" s="1922">
        <v>0.3</v>
      </c>
      <c r="BW145" s="1922">
        <v>0.3</v>
      </c>
      <c r="BX145" s="1922">
        <v>0.3</v>
      </c>
      <c r="BY145" s="2021">
        <v>0.3</v>
      </c>
      <c r="BZ145" s="1922">
        <v>0.3</v>
      </c>
      <c r="CA145" s="1922">
        <v>0.3</v>
      </c>
      <c r="CB145" s="2022"/>
      <c r="CC145" s="2023"/>
      <c r="CD145" s="2023"/>
      <c r="CE145" s="2306"/>
      <c r="CF145"/>
      <c r="CG145" s="2016" t="s">
        <v>3585</v>
      </c>
      <c r="CH145" s="2020" t="s">
        <v>3562</v>
      </c>
      <c r="CI145" s="1918" t="s">
        <v>3586</v>
      </c>
      <c r="CJ145" s="2932">
        <v>0.5</v>
      </c>
      <c r="CK145" s="2932">
        <v>0.5</v>
      </c>
      <c r="CL145" s="2932">
        <v>0.5</v>
      </c>
      <c r="CM145" s="2932">
        <v>0.5</v>
      </c>
      <c r="CN145" s="2932">
        <v>0.5</v>
      </c>
      <c r="CO145" s="2932">
        <v>0.5</v>
      </c>
      <c r="CP145" s="2932">
        <v>0.5</v>
      </c>
      <c r="CQ145" s="2932">
        <v>0.5</v>
      </c>
      <c r="CR145" s="2932">
        <v>0.5</v>
      </c>
      <c r="CS145" s="2932">
        <v>0.5</v>
      </c>
      <c r="CT145" s="2994">
        <f t="shared" si="57"/>
        <v>0</v>
      </c>
      <c r="CU145" s="2995">
        <f t="shared" si="57"/>
        <v>0</v>
      </c>
      <c r="CV145" s="2995">
        <f t="shared" si="57"/>
        <v>0</v>
      </c>
      <c r="CW145" s="2445"/>
      <c r="CX145" s="2016" t="s">
        <v>3585</v>
      </c>
      <c r="CY145" s="2020" t="s">
        <v>3562</v>
      </c>
      <c r="CZ145" s="1918" t="s">
        <v>3586</v>
      </c>
      <c r="DA145" s="2935">
        <v>0.35</v>
      </c>
      <c r="DB145" s="2932"/>
      <c r="DC145" s="2932"/>
      <c r="DD145" s="2932"/>
      <c r="DE145" s="2932"/>
      <c r="DF145" s="2932"/>
      <c r="DG145" s="2932"/>
      <c r="DH145" s="2932"/>
      <c r="DI145" s="2932"/>
      <c r="DJ145" s="2932"/>
      <c r="DK145" s="2994"/>
      <c r="DL145" s="2995"/>
      <c r="DM145" s="2995"/>
    </row>
    <row r="146" spans="1:117" s="1328" customFormat="1">
      <c r="A146"/>
      <c r="B146" s="1914">
        <f t="shared" si="53"/>
        <v>1</v>
      </c>
      <c r="C146" s="1929" t="str">
        <f t="shared" ref="C146:C186" si="69">R146</f>
        <v>水資源保護</v>
      </c>
      <c r="D146" s="1925">
        <f>IF(I$145=0,0,G146/I$145)</f>
        <v>0.2</v>
      </c>
      <c r="E146" s="1926">
        <f>IF(J$145=0,0,H146/J$145)</f>
        <v>0</v>
      </c>
      <c r="F146"/>
      <c r="G146" s="1926">
        <f t="shared" ref="G146:G186" si="70">K146*M146</f>
        <v>0.2</v>
      </c>
      <c r="H146" s="1926">
        <f t="shared" ref="H146:H186" si="71">L146*N146</f>
        <v>0</v>
      </c>
      <c r="I146" s="1926">
        <f>G147+G148</f>
        <v>1</v>
      </c>
      <c r="J146" s="1926">
        <f>H147+H148</f>
        <v>0</v>
      </c>
      <c r="K146" s="1926">
        <f>IF(スコア!Q146=0,0,1)</f>
        <v>1</v>
      </c>
      <c r="L146" s="1926">
        <f>IF(スコア!T146=0,0,1)</f>
        <v>0</v>
      </c>
      <c r="M146" s="1926">
        <f t="shared" ref="M146:M186" si="72">SUMPRODUCT($S$7:$AB$7,S146:AB146)</f>
        <v>0.2</v>
      </c>
      <c r="N146" s="1926">
        <f t="shared" si="61"/>
        <v>0</v>
      </c>
      <c r="O146"/>
      <c r="P146" s="2011">
        <f t="shared" si="56"/>
        <v>1</v>
      </c>
      <c r="Q146" s="1928" t="str">
        <f t="shared" si="56"/>
        <v>LR2</v>
      </c>
      <c r="R146" s="1929" t="str">
        <f t="shared" si="56"/>
        <v>水資源保護</v>
      </c>
      <c r="S146" s="1930">
        <f t="shared" si="56"/>
        <v>0.2</v>
      </c>
      <c r="T146" s="1930">
        <f t="shared" si="56"/>
        <v>0.2</v>
      </c>
      <c r="U146" s="1930">
        <f t="shared" si="56"/>
        <v>0.2</v>
      </c>
      <c r="V146" s="1930">
        <f t="shared" si="54"/>
        <v>0.2</v>
      </c>
      <c r="W146" s="1930">
        <f t="shared" si="54"/>
        <v>0.2</v>
      </c>
      <c r="X146" s="1930">
        <f t="shared" si="54"/>
        <v>0.2</v>
      </c>
      <c r="Y146" s="1930">
        <f t="shared" si="54"/>
        <v>0.2</v>
      </c>
      <c r="Z146" s="1994">
        <f t="shared" si="55"/>
        <v>0.2</v>
      </c>
      <c r="AA146" s="1930">
        <f t="shared" si="55"/>
        <v>0.2</v>
      </c>
      <c r="AB146" s="1930">
        <f t="shared" si="55"/>
        <v>0.2</v>
      </c>
      <c r="AC146" s="2024">
        <f t="shared" si="55"/>
        <v>0</v>
      </c>
      <c r="AD146" s="2025">
        <f t="shared" si="55"/>
        <v>0</v>
      </c>
      <c r="AE146" s="2025">
        <f t="shared" si="55"/>
        <v>0</v>
      </c>
      <c r="AF146"/>
      <c r="AG146" s="2011">
        <v>1</v>
      </c>
      <c r="AH146" s="1933" t="s">
        <v>1304</v>
      </c>
      <c r="AI146" s="1929" t="s">
        <v>1049</v>
      </c>
      <c r="AJ146" s="1934">
        <v>0.2</v>
      </c>
      <c r="AK146" s="1934">
        <v>0.2</v>
      </c>
      <c r="AL146" s="1934">
        <v>0.2</v>
      </c>
      <c r="AM146" s="1934">
        <v>0.2</v>
      </c>
      <c r="AN146" s="1934">
        <v>0.2</v>
      </c>
      <c r="AO146" s="1934">
        <v>0.2</v>
      </c>
      <c r="AP146" s="1934">
        <v>0.2</v>
      </c>
      <c r="AQ146" s="1995">
        <v>0.2</v>
      </c>
      <c r="AR146" s="1934">
        <v>0.2</v>
      </c>
      <c r="AS146" s="1934">
        <v>0.2</v>
      </c>
      <c r="AT146" s="2026"/>
      <c r="AU146" s="2027"/>
      <c r="AV146" s="2027"/>
      <c r="AW146"/>
      <c r="AX146" s="2011">
        <v>1</v>
      </c>
      <c r="AY146" s="1933" t="s">
        <v>1304</v>
      </c>
      <c r="AZ146" s="1929" t="s">
        <v>1049</v>
      </c>
      <c r="BA146" s="1934">
        <v>0.2</v>
      </c>
      <c r="BB146" s="1934">
        <v>0.2</v>
      </c>
      <c r="BC146" s="1934">
        <v>0.2</v>
      </c>
      <c r="BD146" s="1934">
        <v>0.2</v>
      </c>
      <c r="BE146" s="1934">
        <v>0.2</v>
      </c>
      <c r="BF146" s="1934">
        <v>0.2</v>
      </c>
      <c r="BG146" s="1934">
        <v>0.2</v>
      </c>
      <c r="BH146" s="1995">
        <v>0.2</v>
      </c>
      <c r="BI146" s="1934">
        <v>0.2</v>
      </c>
      <c r="BJ146" s="1934">
        <v>0.2</v>
      </c>
      <c r="BK146" s="2026"/>
      <c r="BL146" s="2027"/>
      <c r="BM146" s="2027"/>
      <c r="BN146"/>
      <c r="BO146" s="2011">
        <v>1</v>
      </c>
      <c r="BP146" s="1933" t="s">
        <v>1304</v>
      </c>
      <c r="BQ146" s="1929" t="s">
        <v>3761</v>
      </c>
      <c r="BR146" s="1934">
        <v>0.2</v>
      </c>
      <c r="BS146" s="1934">
        <v>0.2</v>
      </c>
      <c r="BT146" s="1934">
        <v>0.2</v>
      </c>
      <c r="BU146" s="1934">
        <v>0.2</v>
      </c>
      <c r="BV146" s="1934">
        <v>0.2</v>
      </c>
      <c r="BW146" s="1934">
        <v>0.2</v>
      </c>
      <c r="BX146" s="1934">
        <v>0.2</v>
      </c>
      <c r="BY146" s="1995">
        <v>0.2</v>
      </c>
      <c r="BZ146" s="1934">
        <v>0.2</v>
      </c>
      <c r="CA146" s="1934">
        <v>0.2</v>
      </c>
      <c r="CB146" s="2026"/>
      <c r="CC146" s="2027"/>
      <c r="CD146" s="2027"/>
      <c r="CE146" s="2306"/>
      <c r="CF146"/>
      <c r="CG146" s="2011">
        <v>1</v>
      </c>
      <c r="CH146" s="1933" t="s">
        <v>1304</v>
      </c>
      <c r="CI146" s="1929" t="s">
        <v>1049</v>
      </c>
      <c r="CJ146" s="2940">
        <v>0.1</v>
      </c>
      <c r="CK146" s="2940">
        <v>0.1</v>
      </c>
      <c r="CL146" s="2940">
        <v>0.1</v>
      </c>
      <c r="CM146" s="2940">
        <v>0.1</v>
      </c>
      <c r="CN146" s="2940">
        <v>0.1</v>
      </c>
      <c r="CO146" s="2940">
        <v>0.1</v>
      </c>
      <c r="CP146" s="2940">
        <v>0.1</v>
      </c>
      <c r="CQ146" s="2940">
        <v>0.1</v>
      </c>
      <c r="CR146" s="2940">
        <v>0.1</v>
      </c>
      <c r="CS146" s="2940">
        <v>0.1</v>
      </c>
      <c r="CT146" s="2996">
        <f t="shared" si="57"/>
        <v>0</v>
      </c>
      <c r="CU146" s="2997">
        <f t="shared" si="57"/>
        <v>0</v>
      </c>
      <c r="CV146" s="2997">
        <f t="shared" si="57"/>
        <v>0</v>
      </c>
      <c r="CW146" s="2445"/>
      <c r="CX146" s="2011">
        <v>1</v>
      </c>
      <c r="CY146" s="1933" t="s">
        <v>1304</v>
      </c>
      <c r="CZ146" s="1929" t="s">
        <v>1049</v>
      </c>
      <c r="DA146" s="2974">
        <v>0.3</v>
      </c>
      <c r="DB146" s="2940"/>
      <c r="DC146" s="2940"/>
      <c r="DD146" s="2940"/>
      <c r="DE146" s="2940"/>
      <c r="DF146" s="2940"/>
      <c r="DG146" s="2940"/>
      <c r="DH146" s="2940"/>
      <c r="DI146" s="2940"/>
      <c r="DJ146" s="2940"/>
      <c r="DK146" s="2998"/>
      <c r="DL146" s="2999"/>
      <c r="DM146" s="2999"/>
    </row>
    <row r="147" spans="1:117">
      <c r="B147" s="1914">
        <f t="shared" si="53"/>
        <v>1.1000000000000001</v>
      </c>
      <c r="C147" s="1937" t="str">
        <f t="shared" si="69"/>
        <v>節水</v>
      </c>
      <c r="D147" s="1938">
        <f>IF(I$146=0,0,G147/I$146)</f>
        <v>0.4</v>
      </c>
      <c r="E147" s="1939">
        <f>IF(J$146=0,0,H147/J$146)</f>
        <v>0</v>
      </c>
      <c r="G147" s="1939">
        <f t="shared" si="70"/>
        <v>0.4</v>
      </c>
      <c r="H147" s="1939">
        <f t="shared" si="71"/>
        <v>0</v>
      </c>
      <c r="I147" s="1939"/>
      <c r="J147" s="1939"/>
      <c r="K147" s="1939">
        <f>IF(スコア!Q147=0,0,1)</f>
        <v>1</v>
      </c>
      <c r="L147" s="1939">
        <f>IF(スコア!T147=0,0,1)</f>
        <v>0</v>
      </c>
      <c r="M147" s="1939">
        <f t="shared" si="72"/>
        <v>0.4</v>
      </c>
      <c r="N147" s="1939">
        <f t="shared" si="61"/>
        <v>0</v>
      </c>
      <c r="P147" s="1940">
        <f t="shared" si="56"/>
        <v>1.1000000000000001</v>
      </c>
      <c r="Q147" s="1940" t="str">
        <f t="shared" si="56"/>
        <v>LR2 1</v>
      </c>
      <c r="R147" s="1941" t="str">
        <f t="shared" si="56"/>
        <v>節水</v>
      </c>
      <c r="S147" s="1942">
        <f t="shared" si="56"/>
        <v>0.4</v>
      </c>
      <c r="T147" s="1942">
        <f t="shared" si="56"/>
        <v>0.4</v>
      </c>
      <c r="U147" s="1942">
        <f t="shared" si="56"/>
        <v>0.4</v>
      </c>
      <c r="V147" s="1942">
        <f t="shared" si="54"/>
        <v>0.4</v>
      </c>
      <c r="W147" s="1942">
        <f t="shared" si="54"/>
        <v>0.4</v>
      </c>
      <c r="X147" s="1942">
        <f t="shared" si="54"/>
        <v>0.4</v>
      </c>
      <c r="Y147" s="1942">
        <f t="shared" si="54"/>
        <v>0.4</v>
      </c>
      <c r="Z147" s="1951">
        <f t="shared" si="55"/>
        <v>0.4</v>
      </c>
      <c r="AA147" s="1942">
        <f t="shared" si="55"/>
        <v>0.4</v>
      </c>
      <c r="AB147" s="1942">
        <f t="shared" si="55"/>
        <v>0.4</v>
      </c>
      <c r="AC147" s="2028">
        <f t="shared" si="55"/>
        <v>0</v>
      </c>
      <c r="AD147" s="1961">
        <f t="shared" si="55"/>
        <v>0</v>
      </c>
      <c r="AE147" s="1961">
        <f t="shared" si="55"/>
        <v>0</v>
      </c>
      <c r="AG147" s="1940">
        <v>1.1000000000000001</v>
      </c>
      <c r="AH147" s="1944" t="s">
        <v>135</v>
      </c>
      <c r="AI147" s="1945" t="s">
        <v>1050</v>
      </c>
      <c r="AJ147" s="1947">
        <v>0.4</v>
      </c>
      <c r="AK147" s="1947">
        <v>0.4</v>
      </c>
      <c r="AL147" s="1947">
        <v>0.4</v>
      </c>
      <c r="AM147" s="1947">
        <v>0.4</v>
      </c>
      <c r="AN147" s="1947">
        <v>0.4</v>
      </c>
      <c r="AO147" s="1947">
        <v>0.4</v>
      </c>
      <c r="AP147" s="1947">
        <v>0.4</v>
      </c>
      <c r="AQ147" s="1954">
        <v>0.4</v>
      </c>
      <c r="AR147" s="1947">
        <v>0.4</v>
      </c>
      <c r="AS147" s="1947">
        <v>0.4</v>
      </c>
      <c r="AT147" s="2029"/>
      <c r="AU147" s="1963"/>
      <c r="AV147" s="1963"/>
      <c r="AX147" s="1940">
        <v>1.1000000000000001</v>
      </c>
      <c r="AY147" s="1944" t="s">
        <v>135</v>
      </c>
      <c r="AZ147" s="1945" t="s">
        <v>1050</v>
      </c>
      <c r="BA147" s="1947">
        <v>0.4</v>
      </c>
      <c r="BB147" s="1947">
        <v>0.4</v>
      </c>
      <c r="BC147" s="1947">
        <v>0.4</v>
      </c>
      <c r="BD147" s="1947">
        <v>0.4</v>
      </c>
      <c r="BE147" s="1947">
        <v>0.4</v>
      </c>
      <c r="BF147" s="1947">
        <v>0.4</v>
      </c>
      <c r="BG147" s="1947">
        <v>0.4</v>
      </c>
      <c r="BH147" s="1954">
        <v>0.4</v>
      </c>
      <c r="BI147" s="1947">
        <v>0.4</v>
      </c>
      <c r="BJ147" s="1947">
        <v>0.4</v>
      </c>
      <c r="BK147" s="2029"/>
      <c r="BL147" s="1963"/>
      <c r="BM147" s="1963"/>
      <c r="BO147" s="1940">
        <v>1.1000000000000001</v>
      </c>
      <c r="BP147" s="1944" t="s">
        <v>135</v>
      </c>
      <c r="BQ147" s="1945" t="s">
        <v>3762</v>
      </c>
      <c r="BR147" s="1947">
        <v>0.4</v>
      </c>
      <c r="BS147" s="1947">
        <v>0.4</v>
      </c>
      <c r="BT147" s="1947">
        <v>0.4</v>
      </c>
      <c r="BU147" s="1947">
        <v>0.4</v>
      </c>
      <c r="BV147" s="1947">
        <v>0.4</v>
      </c>
      <c r="BW147" s="1947">
        <v>0.4</v>
      </c>
      <c r="BX147" s="1947">
        <v>0.4</v>
      </c>
      <c r="BY147" s="1954">
        <v>0.4</v>
      </c>
      <c r="BZ147" s="1947">
        <v>0.4</v>
      </c>
      <c r="CA147" s="1947">
        <v>0.4</v>
      </c>
      <c r="CB147" s="2029"/>
      <c r="CC147" s="1963"/>
      <c r="CD147" s="1963"/>
      <c r="CE147" s="2296"/>
      <c r="CG147" s="1940">
        <v>1.1000000000000001</v>
      </c>
      <c r="CH147" s="1944" t="s">
        <v>135</v>
      </c>
      <c r="CI147" s="1945" t="s">
        <v>1050</v>
      </c>
      <c r="CJ147" s="2943">
        <f t="shared" si="68"/>
        <v>0.4</v>
      </c>
      <c r="CK147" s="2943">
        <f t="shared" si="68"/>
        <v>0.4</v>
      </c>
      <c r="CL147" s="2943">
        <f t="shared" si="68"/>
        <v>0.4</v>
      </c>
      <c r="CM147" s="2943">
        <f t="shared" si="68"/>
        <v>0.4</v>
      </c>
      <c r="CN147" s="2943">
        <f t="shared" si="68"/>
        <v>0.4</v>
      </c>
      <c r="CO147" s="2943">
        <f t="shared" si="68"/>
        <v>0.4</v>
      </c>
      <c r="CP147" s="2943">
        <f t="shared" si="68"/>
        <v>0.4</v>
      </c>
      <c r="CQ147" s="2943">
        <f t="shared" si="68"/>
        <v>0.4</v>
      </c>
      <c r="CR147" s="2943">
        <f t="shared" si="68"/>
        <v>0.4</v>
      </c>
      <c r="CS147" s="2943">
        <f t="shared" si="68"/>
        <v>0.4</v>
      </c>
      <c r="CT147" s="3000">
        <f t="shared" si="57"/>
        <v>0</v>
      </c>
      <c r="CU147" s="2954">
        <f t="shared" si="57"/>
        <v>0</v>
      </c>
      <c r="CV147" s="2954">
        <f t="shared" si="57"/>
        <v>0</v>
      </c>
      <c r="CW147" s="2445"/>
      <c r="CX147" s="1940">
        <v>1.1000000000000001</v>
      </c>
      <c r="CY147" s="1944" t="s">
        <v>135</v>
      </c>
      <c r="CZ147" s="1945" t="s">
        <v>1050</v>
      </c>
      <c r="DA147" s="2945">
        <f t="shared" si="66"/>
        <v>0.4</v>
      </c>
      <c r="DB147" s="2945"/>
      <c r="DC147" s="2945"/>
      <c r="DD147" s="2945"/>
      <c r="DE147" s="2945"/>
      <c r="DF147" s="2945"/>
      <c r="DG147" s="2945"/>
      <c r="DH147" s="2945"/>
      <c r="DI147" s="2945"/>
      <c r="DJ147" s="2945"/>
      <c r="DK147" s="3001"/>
      <c r="DL147" s="2955"/>
      <c r="DM147" s="2955"/>
    </row>
    <row r="148" spans="1:117">
      <c r="B148" s="1914">
        <f t="shared" ref="B148:B188" si="73">P148</f>
        <v>1.2</v>
      </c>
      <c r="C148" s="1941" t="str">
        <f t="shared" si="69"/>
        <v>雨水利用・雑排水再利用</v>
      </c>
      <c r="D148" s="1938">
        <f>IF(I$146=0,0,G148/I$146)</f>
        <v>0.6</v>
      </c>
      <c r="E148" s="1939">
        <f>IF(J$146=0,0,H148/J$146)</f>
        <v>0</v>
      </c>
      <c r="G148" s="1939">
        <f>K148*M148</f>
        <v>0.6</v>
      </c>
      <c r="H148" s="1939">
        <f t="shared" si="71"/>
        <v>0</v>
      </c>
      <c r="I148" s="1939">
        <f>SUM(G149:G150)</f>
        <v>1</v>
      </c>
      <c r="J148" s="1939">
        <f>SUM(H149:H150)</f>
        <v>0</v>
      </c>
      <c r="K148" s="1939">
        <f>IF(スコア!Q148=0,0,1)</f>
        <v>1</v>
      </c>
      <c r="L148" s="1939">
        <f>IF(スコア!T148=0,0,1)</f>
        <v>0</v>
      </c>
      <c r="M148" s="1939">
        <f>SUMPRODUCT($S$7:$AB$7,S148:AB148)</f>
        <v>0.6</v>
      </c>
      <c r="N148" s="1939">
        <f t="shared" si="61"/>
        <v>0</v>
      </c>
      <c r="P148" s="2013">
        <f t="shared" si="56"/>
        <v>1.2</v>
      </c>
      <c r="Q148" s="1940" t="str">
        <f t="shared" si="56"/>
        <v>LR2 1</v>
      </c>
      <c r="R148" s="1941" t="str">
        <f t="shared" si="56"/>
        <v>雨水利用・雑排水再利用</v>
      </c>
      <c r="S148" s="1942">
        <f t="shared" si="56"/>
        <v>0.6</v>
      </c>
      <c r="T148" s="1942">
        <f t="shared" si="56"/>
        <v>0.6</v>
      </c>
      <c r="U148" s="1942">
        <f t="shared" si="56"/>
        <v>0.6</v>
      </c>
      <c r="V148" s="1942">
        <f t="shared" si="54"/>
        <v>0.6</v>
      </c>
      <c r="W148" s="1942">
        <f t="shared" si="54"/>
        <v>0.6</v>
      </c>
      <c r="X148" s="1942">
        <f t="shared" si="54"/>
        <v>0.6</v>
      </c>
      <c r="Y148" s="1942">
        <f t="shared" si="54"/>
        <v>0.6</v>
      </c>
      <c r="Z148" s="1951">
        <f t="shared" si="55"/>
        <v>0.6</v>
      </c>
      <c r="AA148" s="1942">
        <f t="shared" si="55"/>
        <v>0.6</v>
      </c>
      <c r="AB148" s="1942">
        <f t="shared" si="55"/>
        <v>0.6</v>
      </c>
      <c r="AC148" s="2028">
        <f t="shared" si="55"/>
        <v>0</v>
      </c>
      <c r="AD148" s="1961">
        <f t="shared" si="55"/>
        <v>0</v>
      </c>
      <c r="AE148" s="1961">
        <f t="shared" si="55"/>
        <v>0</v>
      </c>
      <c r="AG148" s="2013">
        <v>1.2</v>
      </c>
      <c r="AH148" s="1944" t="s">
        <v>135</v>
      </c>
      <c r="AI148" s="1941" t="s">
        <v>136</v>
      </c>
      <c r="AJ148" s="1947">
        <v>0.6</v>
      </c>
      <c r="AK148" s="1947">
        <v>0.6</v>
      </c>
      <c r="AL148" s="1947">
        <v>0.6</v>
      </c>
      <c r="AM148" s="1947">
        <v>0.6</v>
      </c>
      <c r="AN148" s="1947">
        <v>0.6</v>
      </c>
      <c r="AO148" s="1947">
        <v>0.6</v>
      </c>
      <c r="AP148" s="1947">
        <v>0.6</v>
      </c>
      <c r="AQ148" s="1954">
        <v>0.6</v>
      </c>
      <c r="AR148" s="1947">
        <v>0.6</v>
      </c>
      <c r="AS148" s="1947">
        <v>0.6</v>
      </c>
      <c r="AT148" s="2029"/>
      <c r="AU148" s="1963"/>
      <c r="AV148" s="1963"/>
      <c r="AX148" s="2013">
        <v>1.2</v>
      </c>
      <c r="AY148" s="1944" t="s">
        <v>135</v>
      </c>
      <c r="AZ148" s="1941" t="s">
        <v>136</v>
      </c>
      <c r="BA148" s="1947">
        <v>0.6</v>
      </c>
      <c r="BB148" s="1947">
        <v>0.6</v>
      </c>
      <c r="BC148" s="1947">
        <v>0.6</v>
      </c>
      <c r="BD148" s="1947">
        <v>0.6</v>
      </c>
      <c r="BE148" s="1947">
        <v>0.6</v>
      </c>
      <c r="BF148" s="1947">
        <v>0.6</v>
      </c>
      <c r="BG148" s="1947">
        <v>0.6</v>
      </c>
      <c r="BH148" s="1954">
        <v>0.6</v>
      </c>
      <c r="BI148" s="1947">
        <v>0.6</v>
      </c>
      <c r="BJ148" s="1947">
        <v>0.6</v>
      </c>
      <c r="BK148" s="2029"/>
      <c r="BL148" s="1963"/>
      <c r="BM148" s="1963"/>
      <c r="BO148" s="2013">
        <v>1.2</v>
      </c>
      <c r="BP148" s="1944" t="s">
        <v>135</v>
      </c>
      <c r="BQ148" s="1941" t="s">
        <v>3763</v>
      </c>
      <c r="BR148" s="1947">
        <v>0.6</v>
      </c>
      <c r="BS148" s="1947">
        <v>0.6</v>
      </c>
      <c r="BT148" s="1947">
        <v>0.6</v>
      </c>
      <c r="BU148" s="1947">
        <v>0.6</v>
      </c>
      <c r="BV148" s="1947">
        <v>0.6</v>
      </c>
      <c r="BW148" s="1947">
        <v>0.6</v>
      </c>
      <c r="BX148" s="1947">
        <v>0.6</v>
      </c>
      <c r="BY148" s="1954">
        <v>0.6</v>
      </c>
      <c r="BZ148" s="1947">
        <v>0.6</v>
      </c>
      <c r="CA148" s="1947">
        <v>0.6</v>
      </c>
      <c r="CB148" s="2029"/>
      <c r="CC148" s="1963"/>
      <c r="CD148" s="1963"/>
      <c r="CE148" s="2296"/>
      <c r="CG148" s="2013">
        <v>1.2</v>
      </c>
      <c r="CH148" s="1944" t="s">
        <v>135</v>
      </c>
      <c r="CI148" s="1941" t="s">
        <v>136</v>
      </c>
      <c r="CJ148" s="2943">
        <f t="shared" si="68"/>
        <v>0.6</v>
      </c>
      <c r="CK148" s="2943">
        <f t="shared" si="68"/>
        <v>0.6</v>
      </c>
      <c r="CL148" s="2943">
        <f t="shared" si="68"/>
        <v>0.6</v>
      </c>
      <c r="CM148" s="2943">
        <f t="shared" si="68"/>
        <v>0.6</v>
      </c>
      <c r="CN148" s="2943">
        <f t="shared" si="68"/>
        <v>0.6</v>
      </c>
      <c r="CO148" s="2943">
        <f t="shared" si="68"/>
        <v>0.6</v>
      </c>
      <c r="CP148" s="2943">
        <f t="shared" si="68"/>
        <v>0.6</v>
      </c>
      <c r="CQ148" s="2943">
        <f t="shared" si="68"/>
        <v>0.6</v>
      </c>
      <c r="CR148" s="2943">
        <f t="shared" si="68"/>
        <v>0.6</v>
      </c>
      <c r="CS148" s="2943">
        <f t="shared" si="68"/>
        <v>0.6</v>
      </c>
      <c r="CT148" s="3000">
        <f t="shared" si="57"/>
        <v>0</v>
      </c>
      <c r="CU148" s="2954">
        <f t="shared" si="57"/>
        <v>0</v>
      </c>
      <c r="CV148" s="2954">
        <f t="shared" si="57"/>
        <v>0</v>
      </c>
      <c r="CW148" s="2445"/>
      <c r="CX148" s="2013">
        <v>1.2</v>
      </c>
      <c r="CY148" s="1944" t="s">
        <v>135</v>
      </c>
      <c r="CZ148" s="1941" t="s">
        <v>136</v>
      </c>
      <c r="DA148" s="2945">
        <f t="shared" si="66"/>
        <v>0.6</v>
      </c>
      <c r="DB148" s="2945"/>
      <c r="DC148" s="2945"/>
      <c r="DD148" s="2945"/>
      <c r="DE148" s="2945"/>
      <c r="DF148" s="2945"/>
      <c r="DG148" s="2945"/>
      <c r="DH148" s="2945"/>
      <c r="DI148" s="2945"/>
      <c r="DJ148" s="2945"/>
      <c r="DK148" s="3001"/>
      <c r="DL148" s="2955"/>
      <c r="DM148" s="2955"/>
    </row>
    <row r="149" spans="1:117">
      <c r="B149" s="1914" t="str">
        <f t="shared" si="73"/>
        <v>1.2.1</v>
      </c>
      <c r="C149" s="1937" t="str">
        <f t="shared" si="69"/>
        <v>雨水利用システム導入の有無</v>
      </c>
      <c r="D149" s="1927">
        <f>IF(I$148&gt;0,G149/I$148,0)</f>
        <v>0.7</v>
      </c>
      <c r="E149" s="1939">
        <f>IF(J$148&gt;0,H149/J$148,0)</f>
        <v>0</v>
      </c>
      <c r="G149" s="1939">
        <f t="shared" si="70"/>
        <v>0.7</v>
      </c>
      <c r="H149" s="1939">
        <f t="shared" si="71"/>
        <v>0</v>
      </c>
      <c r="I149" s="1939"/>
      <c r="J149" s="1939"/>
      <c r="K149" s="1939">
        <f>IF(スコア!Q149=0,0,1)</f>
        <v>1</v>
      </c>
      <c r="L149" s="1939">
        <f>IF(スコア!T149=0,0,1)</f>
        <v>0</v>
      </c>
      <c r="M149" s="1939">
        <f>SUMPRODUCT($S$7:$AB$7,S149:AB149)</f>
        <v>0.7</v>
      </c>
      <c r="N149" s="1939">
        <f t="shared" si="61"/>
        <v>0</v>
      </c>
      <c r="P149" s="1940" t="str">
        <f t="shared" si="56"/>
        <v>1.2.1</v>
      </c>
      <c r="Q149" s="1940" t="str">
        <f t="shared" si="56"/>
        <v>LR2 1.2</v>
      </c>
      <c r="R149" s="1941" t="str">
        <f t="shared" si="56"/>
        <v>雨水利用システム導入の有無</v>
      </c>
      <c r="S149" s="1942">
        <f t="shared" si="56"/>
        <v>0.7</v>
      </c>
      <c r="T149" s="1942">
        <f t="shared" si="56"/>
        <v>0.7</v>
      </c>
      <c r="U149" s="1942">
        <f t="shared" si="56"/>
        <v>0.7</v>
      </c>
      <c r="V149" s="1942">
        <f t="shared" si="54"/>
        <v>0.7</v>
      </c>
      <c r="W149" s="1942">
        <f t="shared" si="54"/>
        <v>0.7</v>
      </c>
      <c r="X149" s="1942">
        <f t="shared" si="54"/>
        <v>0.7</v>
      </c>
      <c r="Y149" s="1942">
        <f t="shared" si="54"/>
        <v>0.7</v>
      </c>
      <c r="Z149" s="1951">
        <f t="shared" si="55"/>
        <v>0.7</v>
      </c>
      <c r="AA149" s="1942">
        <f t="shared" si="55"/>
        <v>0.7</v>
      </c>
      <c r="AB149" s="1942">
        <f t="shared" si="55"/>
        <v>0.7</v>
      </c>
      <c r="AC149" s="2028">
        <f t="shared" si="55"/>
        <v>0</v>
      </c>
      <c r="AD149" s="1961">
        <f t="shared" si="55"/>
        <v>0</v>
      </c>
      <c r="AE149" s="1961">
        <f t="shared" si="55"/>
        <v>0</v>
      </c>
      <c r="AG149" s="1940" t="s">
        <v>2300</v>
      </c>
      <c r="AH149" s="1944" t="s">
        <v>137</v>
      </c>
      <c r="AI149" s="1945" t="s">
        <v>2301</v>
      </c>
      <c r="AJ149" s="1947">
        <v>0.7</v>
      </c>
      <c r="AK149" s="1947">
        <v>0.7</v>
      </c>
      <c r="AL149" s="1947">
        <v>0.7</v>
      </c>
      <c r="AM149" s="1947">
        <v>0.7</v>
      </c>
      <c r="AN149" s="1947">
        <v>0.7</v>
      </c>
      <c r="AO149" s="1947">
        <v>0.7</v>
      </c>
      <c r="AP149" s="1947">
        <v>0.7</v>
      </c>
      <c r="AQ149" s="1954">
        <v>0.7</v>
      </c>
      <c r="AR149" s="1947">
        <v>0.7</v>
      </c>
      <c r="AS149" s="1947">
        <v>0.7</v>
      </c>
      <c r="AT149" s="2029"/>
      <c r="AU149" s="1963"/>
      <c r="AV149" s="1963"/>
      <c r="AX149" s="1940" t="s">
        <v>2300</v>
      </c>
      <c r="AY149" s="1944" t="s">
        <v>137</v>
      </c>
      <c r="AZ149" s="1945" t="s">
        <v>2301</v>
      </c>
      <c r="BA149" s="1947">
        <v>0.7</v>
      </c>
      <c r="BB149" s="1947">
        <v>0.7</v>
      </c>
      <c r="BC149" s="1947">
        <v>0.7</v>
      </c>
      <c r="BD149" s="1947">
        <v>0.7</v>
      </c>
      <c r="BE149" s="1947">
        <v>0.7</v>
      </c>
      <c r="BF149" s="1947">
        <v>0.7</v>
      </c>
      <c r="BG149" s="1947">
        <v>0.7</v>
      </c>
      <c r="BH149" s="1954">
        <v>0.7</v>
      </c>
      <c r="BI149" s="1947">
        <v>0.7</v>
      </c>
      <c r="BJ149" s="1947">
        <v>0.7</v>
      </c>
      <c r="BK149" s="2029"/>
      <c r="BL149" s="1963"/>
      <c r="BM149" s="1963"/>
      <c r="BO149" s="1940" t="s">
        <v>3671</v>
      </c>
      <c r="BP149" s="1944" t="s">
        <v>137</v>
      </c>
      <c r="BQ149" s="1945" t="s">
        <v>3660</v>
      </c>
      <c r="BR149" s="1947">
        <v>0.7</v>
      </c>
      <c r="BS149" s="1947">
        <v>0.7</v>
      </c>
      <c r="BT149" s="1947">
        <v>0.7</v>
      </c>
      <c r="BU149" s="1947">
        <v>0.7</v>
      </c>
      <c r="BV149" s="1947">
        <v>0.7</v>
      </c>
      <c r="BW149" s="1947">
        <v>0.7</v>
      </c>
      <c r="BX149" s="1947">
        <v>0.7</v>
      </c>
      <c r="BY149" s="1954">
        <v>0.7</v>
      </c>
      <c r="BZ149" s="1947">
        <v>0.7</v>
      </c>
      <c r="CA149" s="1947">
        <v>0.7</v>
      </c>
      <c r="CB149" s="2029"/>
      <c r="CC149" s="1963"/>
      <c r="CD149" s="1963"/>
      <c r="CE149" s="2296"/>
      <c r="CG149" s="1940" t="s">
        <v>3587</v>
      </c>
      <c r="CH149" s="1944" t="s">
        <v>137</v>
      </c>
      <c r="CI149" s="1945" t="s">
        <v>3588</v>
      </c>
      <c r="CJ149" s="2943">
        <f t="shared" si="68"/>
        <v>0.7</v>
      </c>
      <c r="CK149" s="2943">
        <f t="shared" si="68"/>
        <v>0.7</v>
      </c>
      <c r="CL149" s="2943">
        <f t="shared" si="68"/>
        <v>0.7</v>
      </c>
      <c r="CM149" s="2943">
        <f t="shared" si="68"/>
        <v>0.7</v>
      </c>
      <c r="CN149" s="2943">
        <f t="shared" si="68"/>
        <v>0.7</v>
      </c>
      <c r="CO149" s="2943">
        <f t="shared" si="68"/>
        <v>0.7</v>
      </c>
      <c r="CP149" s="2943">
        <f t="shared" si="68"/>
        <v>0.7</v>
      </c>
      <c r="CQ149" s="2943">
        <f t="shared" si="68"/>
        <v>0.7</v>
      </c>
      <c r="CR149" s="2943">
        <f t="shared" si="68"/>
        <v>0.7</v>
      </c>
      <c r="CS149" s="2943">
        <f t="shared" si="68"/>
        <v>0.7</v>
      </c>
      <c r="CT149" s="3000">
        <f t="shared" si="57"/>
        <v>0</v>
      </c>
      <c r="CU149" s="2954">
        <f t="shared" si="57"/>
        <v>0</v>
      </c>
      <c r="CV149" s="2954">
        <f t="shared" si="57"/>
        <v>0</v>
      </c>
      <c r="CW149" s="2445"/>
      <c r="CX149" s="1940" t="s">
        <v>3589</v>
      </c>
      <c r="CY149" s="1944" t="s">
        <v>137</v>
      </c>
      <c r="CZ149" s="1945" t="s">
        <v>3588</v>
      </c>
      <c r="DA149" s="2945">
        <f t="shared" si="66"/>
        <v>0.7</v>
      </c>
      <c r="DB149" s="2945"/>
      <c r="DC149" s="2945"/>
      <c r="DD149" s="2945"/>
      <c r="DE149" s="2945"/>
      <c r="DF149" s="2945"/>
      <c r="DG149" s="2945"/>
      <c r="DH149" s="2945"/>
      <c r="DI149" s="2945"/>
      <c r="DJ149" s="2945"/>
      <c r="DK149" s="3001"/>
      <c r="DL149" s="2955"/>
      <c r="DM149" s="2955"/>
    </row>
    <row r="150" spans="1:117">
      <c r="B150" s="1914" t="str">
        <f t="shared" si="73"/>
        <v>1.2.2</v>
      </c>
      <c r="C150" s="1937" t="str">
        <f t="shared" si="69"/>
        <v>雑排水等再利用システム導入の有無</v>
      </c>
      <c r="D150" s="1927">
        <f>IF(I$148&gt;0,G150/I$148,0)</f>
        <v>0.3</v>
      </c>
      <c r="E150" s="1939">
        <f>IF(J$148&gt;0,H150/J$148,0)</f>
        <v>0</v>
      </c>
      <c r="G150" s="1939">
        <f t="shared" si="70"/>
        <v>0.3</v>
      </c>
      <c r="H150" s="1939">
        <f t="shared" si="71"/>
        <v>0</v>
      </c>
      <c r="I150" s="1939"/>
      <c r="J150" s="1939"/>
      <c r="K150" s="1939">
        <f>IF(スコア!Q150=0,0,1)</f>
        <v>1</v>
      </c>
      <c r="L150" s="1939">
        <f>IF(スコア!T150=0,0,1)</f>
        <v>0</v>
      </c>
      <c r="M150" s="1939">
        <f>SUMPRODUCT($S$7:$AB$7,S150:AB150)</f>
        <v>0.3</v>
      </c>
      <c r="N150" s="1939">
        <f t="shared" si="61"/>
        <v>0</v>
      </c>
      <c r="P150" s="1940" t="str">
        <f t="shared" si="56"/>
        <v>1.2.2</v>
      </c>
      <c r="Q150" s="1940" t="str">
        <f t="shared" si="56"/>
        <v>LR2 1.2</v>
      </c>
      <c r="R150" s="1941" t="str">
        <f t="shared" si="56"/>
        <v>雑排水等再利用システム導入の有無</v>
      </c>
      <c r="S150" s="1942">
        <f t="shared" si="56"/>
        <v>0.3</v>
      </c>
      <c r="T150" s="1942">
        <f t="shared" si="56"/>
        <v>0.3</v>
      </c>
      <c r="U150" s="1942">
        <f t="shared" si="56"/>
        <v>0.3</v>
      </c>
      <c r="V150" s="1942">
        <f t="shared" si="54"/>
        <v>0.3</v>
      </c>
      <c r="W150" s="1942">
        <f t="shared" si="54"/>
        <v>0.3</v>
      </c>
      <c r="X150" s="1942">
        <f t="shared" si="54"/>
        <v>0.3</v>
      </c>
      <c r="Y150" s="1942">
        <f t="shared" si="54"/>
        <v>0.3</v>
      </c>
      <c r="Z150" s="1951">
        <f t="shared" si="55"/>
        <v>0.3</v>
      </c>
      <c r="AA150" s="1942">
        <f t="shared" si="55"/>
        <v>0.3</v>
      </c>
      <c r="AB150" s="1942">
        <f t="shared" si="55"/>
        <v>0.3</v>
      </c>
      <c r="AC150" s="2028">
        <f t="shared" si="55"/>
        <v>0</v>
      </c>
      <c r="AD150" s="1961">
        <f t="shared" si="55"/>
        <v>0</v>
      </c>
      <c r="AE150" s="1961">
        <f t="shared" si="55"/>
        <v>0</v>
      </c>
      <c r="AG150" s="1940" t="s">
        <v>2302</v>
      </c>
      <c r="AH150" s="1944" t="s">
        <v>137</v>
      </c>
      <c r="AI150" s="1945" t="s">
        <v>138</v>
      </c>
      <c r="AJ150" s="1947">
        <v>0.3</v>
      </c>
      <c r="AK150" s="1947">
        <v>0.3</v>
      </c>
      <c r="AL150" s="1947">
        <v>0.3</v>
      </c>
      <c r="AM150" s="1947">
        <v>0.3</v>
      </c>
      <c r="AN150" s="1947">
        <v>0.3</v>
      </c>
      <c r="AO150" s="1947">
        <v>0.3</v>
      </c>
      <c r="AP150" s="1947">
        <v>0.3</v>
      </c>
      <c r="AQ150" s="1954">
        <v>0.3</v>
      </c>
      <c r="AR150" s="1947">
        <v>0.3</v>
      </c>
      <c r="AS150" s="1947">
        <v>0.3</v>
      </c>
      <c r="AT150" s="2029"/>
      <c r="AU150" s="1963"/>
      <c r="AV150" s="1963"/>
      <c r="AX150" s="1940" t="s">
        <v>2302</v>
      </c>
      <c r="AY150" s="1944" t="s">
        <v>137</v>
      </c>
      <c r="AZ150" s="1945" t="s">
        <v>138</v>
      </c>
      <c r="BA150" s="1947">
        <v>0.3</v>
      </c>
      <c r="BB150" s="1947">
        <v>0.3</v>
      </c>
      <c r="BC150" s="1947">
        <v>0.3</v>
      </c>
      <c r="BD150" s="1947">
        <v>0.3</v>
      </c>
      <c r="BE150" s="1947">
        <v>0.3</v>
      </c>
      <c r="BF150" s="1947">
        <v>0.3</v>
      </c>
      <c r="BG150" s="1947">
        <v>0.3</v>
      </c>
      <c r="BH150" s="1954">
        <v>0.3</v>
      </c>
      <c r="BI150" s="1947">
        <v>0.3</v>
      </c>
      <c r="BJ150" s="1947">
        <v>0.3</v>
      </c>
      <c r="BK150" s="2029"/>
      <c r="BL150" s="1963"/>
      <c r="BM150" s="1963"/>
      <c r="BO150" s="1940" t="s">
        <v>3521</v>
      </c>
      <c r="BP150" s="1944" t="s">
        <v>137</v>
      </c>
      <c r="BQ150" s="1945" t="s">
        <v>138</v>
      </c>
      <c r="BR150" s="1947">
        <v>0.3</v>
      </c>
      <c r="BS150" s="1947">
        <v>0.3</v>
      </c>
      <c r="BT150" s="1947">
        <v>0.3</v>
      </c>
      <c r="BU150" s="1947">
        <v>0.3</v>
      </c>
      <c r="BV150" s="1947">
        <v>0.3</v>
      </c>
      <c r="BW150" s="1947">
        <v>0.3</v>
      </c>
      <c r="BX150" s="1947">
        <v>0.3</v>
      </c>
      <c r="BY150" s="1954">
        <v>0.3</v>
      </c>
      <c r="BZ150" s="1947">
        <v>0.3</v>
      </c>
      <c r="CA150" s="1947">
        <v>0.3</v>
      </c>
      <c r="CB150" s="2029"/>
      <c r="CC150" s="1963"/>
      <c r="CD150" s="1963"/>
      <c r="CE150" s="2296"/>
      <c r="CG150" s="1940" t="s">
        <v>3590</v>
      </c>
      <c r="CH150" s="1944" t="s">
        <v>137</v>
      </c>
      <c r="CI150" s="1945" t="s">
        <v>138</v>
      </c>
      <c r="CJ150" s="2943">
        <f t="shared" si="68"/>
        <v>0.3</v>
      </c>
      <c r="CK150" s="2943">
        <f t="shared" si="68"/>
        <v>0.3</v>
      </c>
      <c r="CL150" s="2943">
        <f t="shared" si="68"/>
        <v>0.3</v>
      </c>
      <c r="CM150" s="2943">
        <f t="shared" si="68"/>
        <v>0.3</v>
      </c>
      <c r="CN150" s="2943">
        <f t="shared" si="68"/>
        <v>0.3</v>
      </c>
      <c r="CO150" s="2943">
        <f t="shared" si="68"/>
        <v>0.3</v>
      </c>
      <c r="CP150" s="2943">
        <f t="shared" si="68"/>
        <v>0.3</v>
      </c>
      <c r="CQ150" s="2943">
        <f t="shared" si="68"/>
        <v>0.3</v>
      </c>
      <c r="CR150" s="2943">
        <f t="shared" si="68"/>
        <v>0.3</v>
      </c>
      <c r="CS150" s="2943">
        <f t="shared" si="68"/>
        <v>0.3</v>
      </c>
      <c r="CT150" s="3000">
        <f t="shared" si="57"/>
        <v>0</v>
      </c>
      <c r="CU150" s="2954">
        <f t="shared" si="57"/>
        <v>0</v>
      </c>
      <c r="CV150" s="2954">
        <f t="shared" si="57"/>
        <v>0</v>
      </c>
      <c r="CW150" s="2445"/>
      <c r="CX150" s="1940" t="s">
        <v>3590</v>
      </c>
      <c r="CY150" s="1944" t="s">
        <v>137</v>
      </c>
      <c r="CZ150" s="1945" t="s">
        <v>138</v>
      </c>
      <c r="DA150" s="2945">
        <f t="shared" si="66"/>
        <v>0.3</v>
      </c>
      <c r="DB150" s="2945"/>
      <c r="DC150" s="2945"/>
      <c r="DD150" s="2945"/>
      <c r="DE150" s="2945"/>
      <c r="DF150" s="2945"/>
      <c r="DG150" s="2945"/>
      <c r="DH150" s="2945"/>
      <c r="DI150" s="2945"/>
      <c r="DJ150" s="2945"/>
      <c r="DK150" s="3001"/>
      <c r="DL150" s="2955"/>
      <c r="DM150" s="2955"/>
    </row>
    <row r="151" spans="1:117" s="1328" customFormat="1">
      <c r="A151"/>
      <c r="B151" s="1914">
        <f t="shared" si="73"/>
        <v>2</v>
      </c>
      <c r="C151" s="1957" t="str">
        <f t="shared" si="69"/>
        <v>非再生性資源の使用量削減</v>
      </c>
      <c r="D151" s="1925">
        <f>IF(I$145=0,0,G151/I$145)</f>
        <v>0.6</v>
      </c>
      <c r="E151" s="1926">
        <f>IF(J$145=0,0,H151/J$145)</f>
        <v>0</v>
      </c>
      <c r="F151"/>
      <c r="G151" s="1926">
        <f t="shared" si="70"/>
        <v>0.6</v>
      </c>
      <c r="H151" s="1926">
        <f t="shared" si="71"/>
        <v>0</v>
      </c>
      <c r="I151" s="1926">
        <f>G152+G153+G154+G155+G156+G157+G158+G165</f>
        <v>1</v>
      </c>
      <c r="J151" s="1926">
        <f>H152+H153+H154+H155+H156+H157+H158+H165</f>
        <v>0</v>
      </c>
      <c r="K151" s="1926">
        <f>IF(スコア!Q151=0,0,1)</f>
        <v>1</v>
      </c>
      <c r="L151" s="1926">
        <f>IF(スコア!T151=0,0,1)</f>
        <v>0</v>
      </c>
      <c r="M151" s="1926">
        <f t="shared" si="72"/>
        <v>0.6</v>
      </c>
      <c r="N151" s="1926">
        <f t="shared" si="61"/>
        <v>0</v>
      </c>
      <c r="O151"/>
      <c r="P151" s="1928">
        <f t="shared" si="56"/>
        <v>2</v>
      </c>
      <c r="Q151" s="1928" t="str">
        <f t="shared" si="56"/>
        <v>LR2</v>
      </c>
      <c r="R151" s="1929" t="str">
        <f t="shared" si="56"/>
        <v>非再生性資源の使用量削減</v>
      </c>
      <c r="S151" s="1930">
        <f t="shared" si="56"/>
        <v>0.6</v>
      </c>
      <c r="T151" s="1930">
        <f t="shared" si="56"/>
        <v>0.6</v>
      </c>
      <c r="U151" s="1930">
        <f t="shared" si="56"/>
        <v>0.6</v>
      </c>
      <c r="V151" s="1930">
        <f t="shared" si="54"/>
        <v>0.6</v>
      </c>
      <c r="W151" s="1930">
        <f t="shared" si="54"/>
        <v>0.6</v>
      </c>
      <c r="X151" s="1930">
        <f t="shared" si="54"/>
        <v>0.6</v>
      </c>
      <c r="Y151" s="1930">
        <f t="shared" si="54"/>
        <v>0.6</v>
      </c>
      <c r="Z151" s="1994">
        <f t="shared" si="55"/>
        <v>0.6</v>
      </c>
      <c r="AA151" s="1930">
        <f t="shared" si="55"/>
        <v>0.6</v>
      </c>
      <c r="AB151" s="1930">
        <f t="shared" si="55"/>
        <v>0.6</v>
      </c>
      <c r="AC151" s="2024">
        <f t="shared" si="55"/>
        <v>0</v>
      </c>
      <c r="AD151" s="2025">
        <f t="shared" si="55"/>
        <v>0</v>
      </c>
      <c r="AE151" s="2025">
        <f t="shared" si="55"/>
        <v>0</v>
      </c>
      <c r="AF151"/>
      <c r="AG151" s="1928">
        <v>2</v>
      </c>
      <c r="AH151" s="1933" t="s">
        <v>1304</v>
      </c>
      <c r="AI151" s="1957" t="s">
        <v>1054</v>
      </c>
      <c r="AJ151" s="1934">
        <v>0.6</v>
      </c>
      <c r="AK151" s="1934">
        <v>0.6</v>
      </c>
      <c r="AL151" s="1934">
        <v>0.6</v>
      </c>
      <c r="AM151" s="1934">
        <v>0.6</v>
      </c>
      <c r="AN151" s="1934">
        <v>0.6</v>
      </c>
      <c r="AO151" s="1934">
        <v>0.6</v>
      </c>
      <c r="AP151" s="1934">
        <v>0.6</v>
      </c>
      <c r="AQ151" s="1934">
        <v>0.6</v>
      </c>
      <c r="AR151" s="1934">
        <v>0.6</v>
      </c>
      <c r="AS151" s="1934">
        <v>0.6</v>
      </c>
      <c r="AT151" s="2026"/>
      <c r="AU151" s="2027"/>
      <c r="AV151" s="2027"/>
      <c r="AW151"/>
      <c r="AX151" s="1928">
        <v>2</v>
      </c>
      <c r="AY151" s="1933" t="s">
        <v>1304</v>
      </c>
      <c r="AZ151" s="1957" t="s">
        <v>1054</v>
      </c>
      <c r="BA151" s="1934">
        <v>0.6</v>
      </c>
      <c r="BB151" s="1934">
        <v>0.6</v>
      </c>
      <c r="BC151" s="1934">
        <v>0.6</v>
      </c>
      <c r="BD151" s="1934">
        <v>0.6</v>
      </c>
      <c r="BE151" s="1934">
        <v>0.6</v>
      </c>
      <c r="BF151" s="1934">
        <v>0.6</v>
      </c>
      <c r="BG151" s="1934">
        <v>0.6</v>
      </c>
      <c r="BH151" s="1934">
        <v>0.6</v>
      </c>
      <c r="BI151" s="1934">
        <v>0.6</v>
      </c>
      <c r="BJ151" s="1934">
        <v>0.6</v>
      </c>
      <c r="BK151" s="2026"/>
      <c r="BL151" s="2027"/>
      <c r="BM151" s="2027"/>
      <c r="BN151"/>
      <c r="BO151" s="1928">
        <v>2</v>
      </c>
      <c r="BP151" s="1933" t="s">
        <v>1304</v>
      </c>
      <c r="BQ151" s="1957" t="s">
        <v>3764</v>
      </c>
      <c r="BR151" s="1934">
        <v>0.6</v>
      </c>
      <c r="BS151" s="1934">
        <v>0.6</v>
      </c>
      <c r="BT151" s="1934">
        <v>0.6</v>
      </c>
      <c r="BU151" s="1934">
        <v>0.6</v>
      </c>
      <c r="BV151" s="1934">
        <v>0.6</v>
      </c>
      <c r="BW151" s="1934">
        <v>0.6</v>
      </c>
      <c r="BX151" s="1934">
        <v>0.6</v>
      </c>
      <c r="BY151" s="1934">
        <v>0.6</v>
      </c>
      <c r="BZ151" s="1934">
        <v>0.6</v>
      </c>
      <c r="CA151" s="1934">
        <v>0.6</v>
      </c>
      <c r="CB151" s="2026"/>
      <c r="CC151" s="2027"/>
      <c r="CD151" s="2027"/>
      <c r="CE151" s="2306"/>
      <c r="CF151"/>
      <c r="CG151" s="1928">
        <v>2</v>
      </c>
      <c r="CH151" s="1933" t="s">
        <v>1304</v>
      </c>
      <c r="CI151" s="1957" t="s">
        <v>1054</v>
      </c>
      <c r="CJ151" s="2940">
        <v>0.85</v>
      </c>
      <c r="CK151" s="2940">
        <v>0.85</v>
      </c>
      <c r="CL151" s="2940">
        <v>0.85</v>
      </c>
      <c r="CM151" s="2940">
        <v>0.85</v>
      </c>
      <c r="CN151" s="2940">
        <v>0.85</v>
      </c>
      <c r="CO151" s="2940">
        <v>0.85</v>
      </c>
      <c r="CP151" s="2940">
        <v>0.85</v>
      </c>
      <c r="CQ151" s="2940">
        <v>0.85</v>
      </c>
      <c r="CR151" s="2940">
        <v>0.85</v>
      </c>
      <c r="CS151" s="2940">
        <v>0.85</v>
      </c>
      <c r="CT151" s="2996">
        <f t="shared" si="57"/>
        <v>0</v>
      </c>
      <c r="CU151" s="2997">
        <f t="shared" si="57"/>
        <v>0</v>
      </c>
      <c r="CV151" s="2997">
        <f t="shared" si="57"/>
        <v>0</v>
      </c>
      <c r="CW151" s="2445"/>
      <c r="CX151" s="1928">
        <v>2</v>
      </c>
      <c r="CY151" s="1933" t="s">
        <v>1304</v>
      </c>
      <c r="CZ151" s="1957" t="s">
        <v>1054</v>
      </c>
      <c r="DA151" s="2974">
        <v>0.5</v>
      </c>
      <c r="DB151" s="2940"/>
      <c r="DC151" s="2940"/>
      <c r="DD151" s="2940"/>
      <c r="DE151" s="2940"/>
      <c r="DF151" s="2940"/>
      <c r="DG151" s="2940"/>
      <c r="DH151" s="2940"/>
      <c r="DI151" s="2940"/>
      <c r="DJ151" s="2940"/>
      <c r="DK151" s="2998"/>
      <c r="DL151" s="2999"/>
      <c r="DM151" s="2999"/>
    </row>
    <row r="152" spans="1:117" s="1328" customFormat="1">
      <c r="A152"/>
      <c r="B152" s="1914" t="str">
        <f t="shared" si="73"/>
        <v>2.1</v>
      </c>
      <c r="C152" s="1941" t="str">
        <f t="shared" si="69"/>
        <v>材料使用量の削減</v>
      </c>
      <c r="D152" s="1938">
        <f t="shared" ref="D152:E157" si="74">IF(I$151=0,0,G152/I$151)</f>
        <v>0.1</v>
      </c>
      <c r="E152" s="1939">
        <f t="shared" si="74"/>
        <v>0</v>
      </c>
      <c r="F152"/>
      <c r="G152" s="1939">
        <f t="shared" si="70"/>
        <v>0.1</v>
      </c>
      <c r="H152" s="1939">
        <f t="shared" si="71"/>
        <v>0</v>
      </c>
      <c r="I152" s="1939"/>
      <c r="J152" s="1939"/>
      <c r="K152" s="1939">
        <f>IF(スコア!Q152=0,0,1)</f>
        <v>1</v>
      </c>
      <c r="L152" s="1939">
        <f>IF(スコア!T152=0,0,1)</f>
        <v>0</v>
      </c>
      <c r="M152" s="1939">
        <f t="shared" si="72"/>
        <v>0.1</v>
      </c>
      <c r="N152" s="1939">
        <f t="shared" si="61"/>
        <v>0</v>
      </c>
      <c r="O152"/>
      <c r="P152" s="1940" t="str">
        <f t="shared" si="56"/>
        <v>2.1</v>
      </c>
      <c r="Q152" s="1940" t="str">
        <f t="shared" si="56"/>
        <v>LR2 2</v>
      </c>
      <c r="R152" s="1941" t="str">
        <f t="shared" si="56"/>
        <v>材料使用量の削減</v>
      </c>
      <c r="S152" s="1942">
        <f t="shared" si="56"/>
        <v>0.1</v>
      </c>
      <c r="T152" s="1942">
        <f t="shared" si="56"/>
        <v>0.1</v>
      </c>
      <c r="U152" s="1942">
        <f t="shared" si="56"/>
        <v>0.1</v>
      </c>
      <c r="V152" s="1942">
        <f t="shared" si="54"/>
        <v>0.1</v>
      </c>
      <c r="W152" s="1942">
        <f t="shared" si="54"/>
        <v>0.1</v>
      </c>
      <c r="X152" s="1942">
        <f t="shared" si="54"/>
        <v>0.1</v>
      </c>
      <c r="Y152" s="1942">
        <f t="shared" si="54"/>
        <v>0.1</v>
      </c>
      <c r="Z152" s="1951">
        <f t="shared" si="55"/>
        <v>0.1</v>
      </c>
      <c r="AA152" s="1942">
        <f t="shared" si="55"/>
        <v>0.1</v>
      </c>
      <c r="AB152" s="1942">
        <f t="shared" si="55"/>
        <v>0.1</v>
      </c>
      <c r="AC152" s="2028">
        <f t="shared" ref="AC152:AE194" si="75">IF($P$3=1,BK152,IF($P$3=2,CB152,IF($P$3=3,CT152,IF($P$3=4,DK152,AT152))))</f>
        <v>0</v>
      </c>
      <c r="AD152" s="1961">
        <f t="shared" si="75"/>
        <v>0</v>
      </c>
      <c r="AE152" s="1961">
        <f t="shared" si="75"/>
        <v>0</v>
      </c>
      <c r="AF152"/>
      <c r="AG152" s="1940" t="s">
        <v>2303</v>
      </c>
      <c r="AH152" s="1933" t="s">
        <v>139</v>
      </c>
      <c r="AI152" s="1945" t="s">
        <v>1055</v>
      </c>
      <c r="AJ152" s="2002">
        <v>0.1</v>
      </c>
      <c r="AK152" s="2002">
        <v>0.1</v>
      </c>
      <c r="AL152" s="2002">
        <v>0.1</v>
      </c>
      <c r="AM152" s="2002">
        <v>0.1</v>
      </c>
      <c r="AN152" s="2002">
        <v>0.1</v>
      </c>
      <c r="AO152" s="2002">
        <v>0.1</v>
      </c>
      <c r="AP152" s="2002">
        <v>0.1</v>
      </c>
      <c r="AQ152" s="2002">
        <v>0.1</v>
      </c>
      <c r="AR152" s="2002">
        <v>0.1</v>
      </c>
      <c r="AS152" s="2002">
        <v>0.1</v>
      </c>
      <c r="AT152" s="2030"/>
      <c r="AU152" s="2027"/>
      <c r="AV152" s="2027"/>
      <c r="AW152"/>
      <c r="AX152" s="1940" t="s">
        <v>2304</v>
      </c>
      <c r="AY152" s="1933" t="s">
        <v>139</v>
      </c>
      <c r="AZ152" s="1945" t="s">
        <v>1055</v>
      </c>
      <c r="BA152" s="2002">
        <v>0.1</v>
      </c>
      <c r="BB152" s="2002">
        <v>0.1</v>
      </c>
      <c r="BC152" s="2002">
        <v>0.1</v>
      </c>
      <c r="BD152" s="2002">
        <v>0.1</v>
      </c>
      <c r="BE152" s="2002">
        <v>0.1</v>
      </c>
      <c r="BF152" s="2002">
        <v>0.1</v>
      </c>
      <c r="BG152" s="2002">
        <v>0.1</v>
      </c>
      <c r="BH152" s="2002">
        <v>0.1</v>
      </c>
      <c r="BI152" s="2002">
        <v>0.1</v>
      </c>
      <c r="BJ152" s="2002">
        <v>0.1</v>
      </c>
      <c r="BK152" s="2030"/>
      <c r="BL152" s="2027"/>
      <c r="BM152" s="2027"/>
      <c r="BN152"/>
      <c r="BO152" s="1940" t="s">
        <v>3710</v>
      </c>
      <c r="BP152" s="1933" t="s">
        <v>139</v>
      </c>
      <c r="BQ152" s="1945" t="s">
        <v>3765</v>
      </c>
      <c r="BR152" s="2002">
        <v>0.1</v>
      </c>
      <c r="BS152" s="2002">
        <v>0.1</v>
      </c>
      <c r="BT152" s="2002">
        <v>0.1</v>
      </c>
      <c r="BU152" s="2002">
        <v>0.1</v>
      </c>
      <c r="BV152" s="2002">
        <v>0.1</v>
      </c>
      <c r="BW152" s="2002">
        <v>0.1</v>
      </c>
      <c r="BX152" s="2002">
        <v>0.1</v>
      </c>
      <c r="BY152" s="2002">
        <v>0.1</v>
      </c>
      <c r="BZ152" s="2002">
        <v>0.1</v>
      </c>
      <c r="CA152" s="2002">
        <v>0.1</v>
      </c>
      <c r="CB152" s="2026"/>
      <c r="CC152" s="2027"/>
      <c r="CD152" s="2027"/>
      <c r="CE152" s="2306"/>
      <c r="CF152"/>
      <c r="CG152" s="1940" t="s">
        <v>3591</v>
      </c>
      <c r="CH152" s="1933" t="s">
        <v>139</v>
      </c>
      <c r="CI152" s="1945" t="s">
        <v>1055</v>
      </c>
      <c r="CJ152" s="2982">
        <v>0</v>
      </c>
      <c r="CK152" s="2982">
        <v>0</v>
      </c>
      <c r="CL152" s="2982">
        <v>0</v>
      </c>
      <c r="CM152" s="2982">
        <v>0</v>
      </c>
      <c r="CN152" s="2982">
        <v>0</v>
      </c>
      <c r="CO152" s="2982">
        <v>0</v>
      </c>
      <c r="CP152" s="2982">
        <v>0</v>
      </c>
      <c r="CQ152" s="2982">
        <v>0</v>
      </c>
      <c r="CR152" s="2982">
        <v>0</v>
      </c>
      <c r="CS152" s="2982">
        <v>0</v>
      </c>
      <c r="CT152" s="2996">
        <f t="shared" si="57"/>
        <v>0</v>
      </c>
      <c r="CU152" s="2997">
        <f t="shared" si="57"/>
        <v>0</v>
      </c>
      <c r="CV152" s="2997">
        <f t="shared" si="57"/>
        <v>0</v>
      </c>
      <c r="CW152" s="2445"/>
      <c r="CX152" s="1940" t="s">
        <v>3591</v>
      </c>
      <c r="CY152" s="1933" t="s">
        <v>139</v>
      </c>
      <c r="CZ152" s="1945" t="s">
        <v>1055</v>
      </c>
      <c r="DA152" s="2981">
        <v>0</v>
      </c>
      <c r="DB152" s="2982"/>
      <c r="DC152" s="2982"/>
      <c r="DD152" s="2982"/>
      <c r="DE152" s="2982"/>
      <c r="DF152" s="2982"/>
      <c r="DG152" s="2982"/>
      <c r="DH152" s="2982"/>
      <c r="DI152" s="2982"/>
      <c r="DJ152" s="2982"/>
      <c r="DK152" s="2998"/>
      <c r="DL152" s="2999"/>
      <c r="DM152" s="2999"/>
    </row>
    <row r="153" spans="1:117">
      <c r="B153" s="1914" t="str">
        <f t="shared" si="73"/>
        <v>2.2</v>
      </c>
      <c r="C153" s="1941" t="str">
        <f t="shared" si="69"/>
        <v>既存建築躯体等の継続使用</v>
      </c>
      <c r="D153" s="1938">
        <f t="shared" si="74"/>
        <v>0.2</v>
      </c>
      <c r="E153" s="1939">
        <f t="shared" si="74"/>
        <v>0</v>
      </c>
      <c r="G153" s="1939">
        <f t="shared" si="70"/>
        <v>0.2</v>
      </c>
      <c r="H153" s="1939">
        <f t="shared" si="71"/>
        <v>0</v>
      </c>
      <c r="I153" s="1939"/>
      <c r="J153" s="1939"/>
      <c r="K153" s="1939">
        <f>IF(スコア!Q153=0,0,1)</f>
        <v>1</v>
      </c>
      <c r="L153" s="1939">
        <f>IF(スコア!T153=0,0,1)</f>
        <v>0</v>
      </c>
      <c r="M153" s="1939">
        <f t="shared" si="72"/>
        <v>0.2</v>
      </c>
      <c r="N153" s="1939">
        <f t="shared" si="61"/>
        <v>0</v>
      </c>
      <c r="P153" s="1940" t="str">
        <f t="shared" si="56"/>
        <v>2.2</v>
      </c>
      <c r="Q153" s="1940" t="str">
        <f t="shared" si="56"/>
        <v>LR2 2</v>
      </c>
      <c r="R153" s="1941" t="str">
        <f t="shared" si="56"/>
        <v>既存建築躯体等の継続使用</v>
      </c>
      <c r="S153" s="1942">
        <f t="shared" ref="S153:W194" si="76">IF($P$3=1,BA153,IF($P$3=2,BR153,IF($P$3=3,CJ153,IF($P$3=4,DA153,AJ153))))</f>
        <v>0.2</v>
      </c>
      <c r="T153" s="1942">
        <f t="shared" si="76"/>
        <v>0.2</v>
      </c>
      <c r="U153" s="1942">
        <f t="shared" si="76"/>
        <v>0.2</v>
      </c>
      <c r="V153" s="1942">
        <f t="shared" si="54"/>
        <v>0.2</v>
      </c>
      <c r="W153" s="1942">
        <f t="shared" si="54"/>
        <v>0.2</v>
      </c>
      <c r="X153" s="1942">
        <f t="shared" si="54"/>
        <v>0.2</v>
      </c>
      <c r="Y153" s="1942">
        <f t="shared" si="54"/>
        <v>0.2</v>
      </c>
      <c r="Z153" s="1951">
        <f t="shared" si="54"/>
        <v>0.2</v>
      </c>
      <c r="AA153" s="1942">
        <f t="shared" si="54"/>
        <v>0.2</v>
      </c>
      <c r="AB153" s="1942">
        <f t="shared" si="54"/>
        <v>0.2</v>
      </c>
      <c r="AC153" s="2028">
        <f t="shared" si="75"/>
        <v>0</v>
      </c>
      <c r="AD153" s="1961">
        <f t="shared" si="75"/>
        <v>0</v>
      </c>
      <c r="AE153" s="1961">
        <f t="shared" si="75"/>
        <v>0</v>
      </c>
      <c r="AG153" s="1940" t="s">
        <v>2305</v>
      </c>
      <c r="AH153" s="1944" t="s">
        <v>139</v>
      </c>
      <c r="AI153" s="1941" t="s">
        <v>1056</v>
      </c>
      <c r="AJ153" s="1947">
        <v>0.2</v>
      </c>
      <c r="AK153" s="1947">
        <v>0.2</v>
      </c>
      <c r="AL153" s="1947">
        <v>0.2</v>
      </c>
      <c r="AM153" s="1947">
        <v>0.2</v>
      </c>
      <c r="AN153" s="1947">
        <v>0.2</v>
      </c>
      <c r="AO153" s="1947">
        <v>0.2</v>
      </c>
      <c r="AP153" s="1947">
        <v>0.2</v>
      </c>
      <c r="AQ153" s="1947">
        <v>0.2</v>
      </c>
      <c r="AR153" s="1947">
        <v>0.2</v>
      </c>
      <c r="AS153" s="1947">
        <v>0.2</v>
      </c>
      <c r="AT153" s="2029"/>
      <c r="AU153" s="1963"/>
      <c r="AV153" s="1963"/>
      <c r="AX153" s="1940" t="s">
        <v>2306</v>
      </c>
      <c r="AY153" s="1944" t="s">
        <v>139</v>
      </c>
      <c r="AZ153" s="1941" t="s">
        <v>1056</v>
      </c>
      <c r="BA153" s="1947">
        <v>0.2</v>
      </c>
      <c r="BB153" s="1947">
        <v>0.2</v>
      </c>
      <c r="BC153" s="1947">
        <v>0.2</v>
      </c>
      <c r="BD153" s="1947">
        <v>0.2</v>
      </c>
      <c r="BE153" s="1947">
        <v>0.2</v>
      </c>
      <c r="BF153" s="1947">
        <v>0.2</v>
      </c>
      <c r="BG153" s="1947">
        <v>0.2</v>
      </c>
      <c r="BH153" s="1947">
        <v>0.2</v>
      </c>
      <c r="BI153" s="1947">
        <v>0.2</v>
      </c>
      <c r="BJ153" s="1947">
        <v>0.2</v>
      </c>
      <c r="BK153" s="2029"/>
      <c r="BL153" s="1963"/>
      <c r="BM153" s="1963"/>
      <c r="BO153" s="1940" t="s">
        <v>3711</v>
      </c>
      <c r="BP153" s="1944" t="s">
        <v>139</v>
      </c>
      <c r="BQ153" s="1941" t="s">
        <v>3766</v>
      </c>
      <c r="BR153" s="1947">
        <v>0.2</v>
      </c>
      <c r="BS153" s="1947">
        <v>0.2</v>
      </c>
      <c r="BT153" s="1947">
        <v>0.2</v>
      </c>
      <c r="BU153" s="1947">
        <v>0.2</v>
      </c>
      <c r="BV153" s="1947">
        <v>0.2</v>
      </c>
      <c r="BW153" s="1947">
        <v>0.2</v>
      </c>
      <c r="BX153" s="1947">
        <v>0.2</v>
      </c>
      <c r="BY153" s="1947">
        <v>0.2</v>
      </c>
      <c r="BZ153" s="1947">
        <v>0.2</v>
      </c>
      <c r="CA153" s="1947">
        <v>0.2</v>
      </c>
      <c r="CB153" s="2029"/>
      <c r="CC153" s="1963"/>
      <c r="CD153" s="1963"/>
      <c r="CE153" s="2296"/>
      <c r="CG153" s="1940" t="s">
        <v>3592</v>
      </c>
      <c r="CH153" s="1944" t="s">
        <v>139</v>
      </c>
      <c r="CI153" s="1941" t="s">
        <v>1056</v>
      </c>
      <c r="CJ153" s="2945">
        <v>0</v>
      </c>
      <c r="CK153" s="2945">
        <v>0</v>
      </c>
      <c r="CL153" s="2945">
        <v>0</v>
      </c>
      <c r="CM153" s="2945">
        <v>0</v>
      </c>
      <c r="CN153" s="2945">
        <v>0</v>
      </c>
      <c r="CO153" s="2945">
        <v>0</v>
      </c>
      <c r="CP153" s="2945">
        <v>0</v>
      </c>
      <c r="CQ153" s="2945">
        <v>0</v>
      </c>
      <c r="CR153" s="2945">
        <v>0</v>
      </c>
      <c r="CS153" s="2945">
        <v>0</v>
      </c>
      <c r="CT153" s="3000">
        <f t="shared" si="57"/>
        <v>0</v>
      </c>
      <c r="CU153" s="2954">
        <f t="shared" si="57"/>
        <v>0</v>
      </c>
      <c r="CV153" s="2954">
        <f t="shared" si="57"/>
        <v>0</v>
      </c>
      <c r="CW153" s="2445"/>
      <c r="CX153" s="1940" t="s">
        <v>3592</v>
      </c>
      <c r="CY153" s="1944" t="s">
        <v>139</v>
      </c>
      <c r="CZ153" s="1941" t="s">
        <v>1056</v>
      </c>
      <c r="DA153" s="2981">
        <v>0</v>
      </c>
      <c r="DB153" s="2945"/>
      <c r="DC153" s="2945"/>
      <c r="DD153" s="2945"/>
      <c r="DE153" s="2945"/>
      <c r="DF153" s="2945"/>
      <c r="DG153" s="2945"/>
      <c r="DH153" s="2945"/>
      <c r="DI153" s="2945"/>
      <c r="DJ153" s="2945"/>
      <c r="DK153" s="3001"/>
      <c r="DL153" s="2955"/>
      <c r="DM153" s="2955"/>
    </row>
    <row r="154" spans="1:117">
      <c r="B154" s="1914" t="str">
        <f t="shared" si="73"/>
        <v>2.3</v>
      </c>
      <c r="C154" s="1941" t="str">
        <f t="shared" si="69"/>
        <v>躯体材料におけるリサイクル材の使用</v>
      </c>
      <c r="D154" s="1938">
        <f t="shared" si="74"/>
        <v>0.2</v>
      </c>
      <c r="E154" s="1939">
        <f t="shared" si="74"/>
        <v>0</v>
      </c>
      <c r="G154" s="1939">
        <f t="shared" si="70"/>
        <v>0.2</v>
      </c>
      <c r="H154" s="1939">
        <f t="shared" si="71"/>
        <v>0</v>
      </c>
      <c r="I154" s="1939"/>
      <c r="J154" s="1939"/>
      <c r="K154" s="1939">
        <f>IF(スコア!Q154=0,0,1)</f>
        <v>1</v>
      </c>
      <c r="L154" s="1939">
        <f>IF(スコア!T154=0,0,1)</f>
        <v>0</v>
      </c>
      <c r="M154" s="1939">
        <f t="shared" si="72"/>
        <v>0.2</v>
      </c>
      <c r="N154" s="1939">
        <f t="shared" si="61"/>
        <v>0</v>
      </c>
      <c r="P154" s="1940" t="str">
        <f t="shared" ref="P154:R194" si="77">IF($P$3=1,AX154,IF($P$3=2,BO154,IF($P$3=3,CG154,IF($P$3=4,CX154,AG154))))</f>
        <v>2.3</v>
      </c>
      <c r="Q154" s="1940" t="str">
        <f t="shared" si="77"/>
        <v>LR2 2</v>
      </c>
      <c r="R154" s="1941" t="str">
        <f t="shared" si="77"/>
        <v>躯体材料におけるリサイクル材の使用</v>
      </c>
      <c r="S154" s="1942">
        <f t="shared" si="76"/>
        <v>0.2</v>
      </c>
      <c r="T154" s="1942">
        <f t="shared" si="76"/>
        <v>0.2</v>
      </c>
      <c r="U154" s="1942">
        <f t="shared" si="76"/>
        <v>0.2</v>
      </c>
      <c r="V154" s="1942">
        <f t="shared" si="54"/>
        <v>0.2</v>
      </c>
      <c r="W154" s="1942">
        <f t="shared" si="54"/>
        <v>0.2</v>
      </c>
      <c r="X154" s="1942">
        <f t="shared" si="54"/>
        <v>0.2</v>
      </c>
      <c r="Y154" s="1942">
        <f t="shared" si="54"/>
        <v>0.2</v>
      </c>
      <c r="Z154" s="1951">
        <f t="shared" si="54"/>
        <v>0.2</v>
      </c>
      <c r="AA154" s="1942">
        <f t="shared" si="54"/>
        <v>0.2</v>
      </c>
      <c r="AB154" s="1942">
        <f t="shared" si="54"/>
        <v>0.2</v>
      </c>
      <c r="AC154" s="2028">
        <f t="shared" si="75"/>
        <v>0</v>
      </c>
      <c r="AD154" s="1961">
        <f t="shared" si="75"/>
        <v>0</v>
      </c>
      <c r="AE154" s="1961">
        <f t="shared" si="75"/>
        <v>0</v>
      </c>
      <c r="AG154" s="1940" t="s">
        <v>2307</v>
      </c>
      <c r="AH154" s="1944" t="s">
        <v>139</v>
      </c>
      <c r="AI154" s="1941" t="s">
        <v>1057</v>
      </c>
      <c r="AJ154" s="1947">
        <v>0.2</v>
      </c>
      <c r="AK154" s="1947">
        <v>0.2</v>
      </c>
      <c r="AL154" s="1947">
        <v>0.2</v>
      </c>
      <c r="AM154" s="1947">
        <v>0.2</v>
      </c>
      <c r="AN154" s="1947">
        <v>0.2</v>
      </c>
      <c r="AO154" s="1947">
        <v>0.2</v>
      </c>
      <c r="AP154" s="1947">
        <v>0.2</v>
      </c>
      <c r="AQ154" s="1947">
        <v>0.2</v>
      </c>
      <c r="AR154" s="1947">
        <v>0.2</v>
      </c>
      <c r="AS154" s="1947">
        <v>0.2</v>
      </c>
      <c r="AT154" s="2029"/>
      <c r="AU154" s="1963"/>
      <c r="AV154" s="1963"/>
      <c r="AX154" s="1940" t="s">
        <v>2308</v>
      </c>
      <c r="AY154" s="1944" t="s">
        <v>139</v>
      </c>
      <c r="AZ154" s="1941" t="s">
        <v>1057</v>
      </c>
      <c r="BA154" s="1947">
        <v>0.2</v>
      </c>
      <c r="BB154" s="1947">
        <v>0.2</v>
      </c>
      <c r="BC154" s="1947">
        <v>0.2</v>
      </c>
      <c r="BD154" s="1947">
        <v>0.2</v>
      </c>
      <c r="BE154" s="1947">
        <v>0.2</v>
      </c>
      <c r="BF154" s="1947">
        <v>0.2</v>
      </c>
      <c r="BG154" s="1947">
        <v>0.2</v>
      </c>
      <c r="BH154" s="1947">
        <v>0.2</v>
      </c>
      <c r="BI154" s="1947">
        <v>0.2</v>
      </c>
      <c r="BJ154" s="1947">
        <v>0.2</v>
      </c>
      <c r="BK154" s="2029"/>
      <c r="BL154" s="1963"/>
      <c r="BM154" s="1963"/>
      <c r="BO154" s="1940" t="s">
        <v>3718</v>
      </c>
      <c r="BP154" s="1944" t="s">
        <v>139</v>
      </c>
      <c r="BQ154" s="1941" t="s">
        <v>3767</v>
      </c>
      <c r="BR154" s="1947">
        <v>0.2</v>
      </c>
      <c r="BS154" s="1947">
        <v>0.2</v>
      </c>
      <c r="BT154" s="1947">
        <v>0.2</v>
      </c>
      <c r="BU154" s="1947">
        <v>0.2</v>
      </c>
      <c r="BV154" s="1947">
        <v>0.2</v>
      </c>
      <c r="BW154" s="1947">
        <v>0.2</v>
      </c>
      <c r="BX154" s="1947">
        <v>0.2</v>
      </c>
      <c r="BY154" s="1947">
        <v>0.2</v>
      </c>
      <c r="BZ154" s="1947">
        <v>0.2</v>
      </c>
      <c r="CA154" s="1947">
        <v>0.2</v>
      </c>
      <c r="CB154" s="2029"/>
      <c r="CC154" s="1963"/>
      <c r="CD154" s="1963"/>
      <c r="CE154" s="2296"/>
      <c r="CG154" s="1940" t="s">
        <v>3593</v>
      </c>
      <c r="CH154" s="1944" t="s">
        <v>139</v>
      </c>
      <c r="CI154" s="1941" t="s">
        <v>1057</v>
      </c>
      <c r="CJ154" s="2945">
        <v>7.0000000000000007E-2</v>
      </c>
      <c r="CK154" s="2945">
        <v>7.0000000000000007E-2</v>
      </c>
      <c r="CL154" s="2945">
        <v>7.0000000000000007E-2</v>
      </c>
      <c r="CM154" s="2945">
        <v>7.0000000000000007E-2</v>
      </c>
      <c r="CN154" s="2945">
        <v>7.0000000000000007E-2</v>
      </c>
      <c r="CO154" s="2945">
        <v>7.0000000000000007E-2</v>
      </c>
      <c r="CP154" s="2945">
        <v>7.0000000000000007E-2</v>
      </c>
      <c r="CQ154" s="2945">
        <v>7.0000000000000007E-2</v>
      </c>
      <c r="CR154" s="2945">
        <v>7.0000000000000007E-2</v>
      </c>
      <c r="CS154" s="2945">
        <v>7.0000000000000007E-2</v>
      </c>
      <c r="CT154" s="3000">
        <f t="shared" si="57"/>
        <v>0</v>
      </c>
      <c r="CU154" s="2954">
        <f t="shared" si="57"/>
        <v>0</v>
      </c>
      <c r="CV154" s="2954">
        <f t="shared" si="57"/>
        <v>0</v>
      </c>
      <c r="CW154" s="2445"/>
      <c r="CX154" s="1940" t="s">
        <v>3593</v>
      </c>
      <c r="CY154" s="1944" t="s">
        <v>139</v>
      </c>
      <c r="CZ154" s="1941" t="s">
        <v>1057</v>
      </c>
      <c r="DA154" s="2981">
        <v>0</v>
      </c>
      <c r="DB154" s="2945"/>
      <c r="DC154" s="2945"/>
      <c r="DD154" s="2945"/>
      <c r="DE154" s="2945"/>
      <c r="DF154" s="2945"/>
      <c r="DG154" s="2945"/>
      <c r="DH154" s="2945"/>
      <c r="DI154" s="2945"/>
      <c r="DJ154" s="2945"/>
      <c r="DK154" s="3001"/>
      <c r="DL154" s="2955"/>
      <c r="DM154" s="2955"/>
    </row>
    <row r="155" spans="1:117">
      <c r="B155" s="1914" t="str">
        <f t="shared" si="73"/>
        <v>2.4</v>
      </c>
      <c r="C155" s="1941" t="str">
        <f t="shared" si="69"/>
        <v>躯体材料以外におけるリサイクル材の使用</v>
      </c>
      <c r="D155" s="1938">
        <f t="shared" si="74"/>
        <v>0.2</v>
      </c>
      <c r="E155" s="1939">
        <f t="shared" si="74"/>
        <v>0</v>
      </c>
      <c r="G155" s="1939">
        <f t="shared" si="70"/>
        <v>0.2</v>
      </c>
      <c r="H155" s="1939">
        <f t="shared" si="71"/>
        <v>0</v>
      </c>
      <c r="I155" s="1939"/>
      <c r="J155" s="1939"/>
      <c r="K155" s="1939">
        <f>IF(スコア!Q155=0,0,1)</f>
        <v>1</v>
      </c>
      <c r="L155" s="1939">
        <f>IF(スコア!T155=0,0,1)</f>
        <v>0</v>
      </c>
      <c r="M155" s="1939">
        <f t="shared" si="72"/>
        <v>0.2</v>
      </c>
      <c r="N155" s="1939">
        <f t="shared" si="61"/>
        <v>0</v>
      </c>
      <c r="P155" s="1940" t="str">
        <f t="shared" si="77"/>
        <v>2.4</v>
      </c>
      <c r="Q155" s="1940" t="str">
        <f t="shared" si="77"/>
        <v>LR2 2</v>
      </c>
      <c r="R155" s="1941" t="str">
        <f t="shared" si="77"/>
        <v>躯体材料以外におけるリサイクル材の使用</v>
      </c>
      <c r="S155" s="1942">
        <f t="shared" si="76"/>
        <v>0.2</v>
      </c>
      <c r="T155" s="1942">
        <f t="shared" si="76"/>
        <v>0.2</v>
      </c>
      <c r="U155" s="1942">
        <f t="shared" si="76"/>
        <v>0.2</v>
      </c>
      <c r="V155" s="1942">
        <f t="shared" si="54"/>
        <v>0.2</v>
      </c>
      <c r="W155" s="1942">
        <f t="shared" si="54"/>
        <v>0.2</v>
      </c>
      <c r="X155" s="1942">
        <f t="shared" si="54"/>
        <v>0.2</v>
      </c>
      <c r="Y155" s="1942">
        <f t="shared" si="54"/>
        <v>0.2</v>
      </c>
      <c r="Z155" s="1951">
        <f t="shared" si="54"/>
        <v>0.2</v>
      </c>
      <c r="AA155" s="1942">
        <f t="shared" si="54"/>
        <v>0.2</v>
      </c>
      <c r="AB155" s="1942">
        <f t="shared" si="54"/>
        <v>0.2</v>
      </c>
      <c r="AC155" s="2028">
        <f t="shared" si="75"/>
        <v>0</v>
      </c>
      <c r="AD155" s="1961">
        <f t="shared" si="75"/>
        <v>0</v>
      </c>
      <c r="AE155" s="1961">
        <f t="shared" si="75"/>
        <v>0</v>
      </c>
      <c r="AG155" s="1940" t="s">
        <v>2309</v>
      </c>
      <c r="AH155" s="1944" t="s">
        <v>139</v>
      </c>
      <c r="AI155" s="1941" t="s">
        <v>1324</v>
      </c>
      <c r="AJ155" s="1947">
        <v>0.2</v>
      </c>
      <c r="AK155" s="1947">
        <v>0.2</v>
      </c>
      <c r="AL155" s="1947">
        <v>0.2</v>
      </c>
      <c r="AM155" s="1947">
        <v>0.2</v>
      </c>
      <c r="AN155" s="1947">
        <v>0.2</v>
      </c>
      <c r="AO155" s="1947">
        <v>0.2</v>
      </c>
      <c r="AP155" s="1947">
        <v>0.2</v>
      </c>
      <c r="AQ155" s="1947">
        <v>0.2</v>
      </c>
      <c r="AR155" s="1947">
        <v>0.2</v>
      </c>
      <c r="AS155" s="1947">
        <v>0.2</v>
      </c>
      <c r="AT155" s="2029"/>
      <c r="AU155" s="1963"/>
      <c r="AV155" s="1963"/>
      <c r="AX155" s="1940" t="s">
        <v>2310</v>
      </c>
      <c r="AY155" s="1944" t="s">
        <v>139</v>
      </c>
      <c r="AZ155" s="1941" t="s">
        <v>1324</v>
      </c>
      <c r="BA155" s="1947">
        <v>0.2</v>
      </c>
      <c r="BB155" s="1947">
        <v>0.2</v>
      </c>
      <c r="BC155" s="1947">
        <v>0.2</v>
      </c>
      <c r="BD155" s="1947">
        <v>0.2</v>
      </c>
      <c r="BE155" s="1947">
        <v>0.2</v>
      </c>
      <c r="BF155" s="1947">
        <v>0.2</v>
      </c>
      <c r="BG155" s="1947">
        <v>0.2</v>
      </c>
      <c r="BH155" s="1947">
        <v>0.2</v>
      </c>
      <c r="BI155" s="1947">
        <v>0.2</v>
      </c>
      <c r="BJ155" s="1947">
        <v>0.2</v>
      </c>
      <c r="BK155" s="2029"/>
      <c r="BL155" s="1963"/>
      <c r="BM155" s="1963"/>
      <c r="BO155" s="1940" t="s">
        <v>3719</v>
      </c>
      <c r="BP155" s="1944" t="s">
        <v>139</v>
      </c>
      <c r="BQ155" s="1941" t="s">
        <v>1324</v>
      </c>
      <c r="BR155" s="1947">
        <v>0.2</v>
      </c>
      <c r="BS155" s="1947">
        <v>0.2</v>
      </c>
      <c r="BT155" s="1947">
        <v>0.2</v>
      </c>
      <c r="BU155" s="1947">
        <v>0.2</v>
      </c>
      <c r="BV155" s="1947">
        <v>0.2</v>
      </c>
      <c r="BW155" s="1947">
        <v>0.2</v>
      </c>
      <c r="BX155" s="1947">
        <v>0.2</v>
      </c>
      <c r="BY155" s="1947">
        <v>0.2</v>
      </c>
      <c r="BZ155" s="1947">
        <v>0.2</v>
      </c>
      <c r="CA155" s="1947">
        <v>0.2</v>
      </c>
      <c r="CB155" s="2029"/>
      <c r="CC155" s="1963"/>
      <c r="CD155" s="1963"/>
      <c r="CE155" s="2296"/>
      <c r="CG155" s="1940" t="s">
        <v>3594</v>
      </c>
      <c r="CH155" s="1944" t="s">
        <v>139</v>
      </c>
      <c r="CI155" s="1941" t="s">
        <v>1324</v>
      </c>
      <c r="CJ155" s="2945">
        <v>0.04</v>
      </c>
      <c r="CK155" s="2945">
        <v>0.04</v>
      </c>
      <c r="CL155" s="2945">
        <v>0.04</v>
      </c>
      <c r="CM155" s="2945">
        <v>0.04</v>
      </c>
      <c r="CN155" s="2945">
        <v>0.04</v>
      </c>
      <c r="CO155" s="2945">
        <v>0.04</v>
      </c>
      <c r="CP155" s="2945">
        <v>0.04</v>
      </c>
      <c r="CQ155" s="2945">
        <v>0.04</v>
      </c>
      <c r="CR155" s="2945">
        <v>0.04</v>
      </c>
      <c r="CS155" s="2945">
        <v>0.04</v>
      </c>
      <c r="CT155" s="3000">
        <f t="shared" si="57"/>
        <v>0</v>
      </c>
      <c r="CU155" s="2954">
        <f t="shared" si="57"/>
        <v>0</v>
      </c>
      <c r="CV155" s="2954">
        <f t="shared" si="57"/>
        <v>0</v>
      </c>
      <c r="CW155" s="2445"/>
      <c r="CX155" s="1940" t="s">
        <v>3594</v>
      </c>
      <c r="CY155" s="1944" t="s">
        <v>139</v>
      </c>
      <c r="CZ155" s="1941" t="s">
        <v>1324</v>
      </c>
      <c r="DA155" s="2945">
        <f t="shared" si="66"/>
        <v>0.2</v>
      </c>
      <c r="DB155" s="2945"/>
      <c r="DC155" s="2945"/>
      <c r="DD155" s="2945"/>
      <c r="DE155" s="2945"/>
      <c r="DF155" s="2945"/>
      <c r="DG155" s="2945"/>
      <c r="DH155" s="2945"/>
      <c r="DI155" s="2945"/>
      <c r="DJ155" s="2945"/>
      <c r="DK155" s="3001"/>
      <c r="DL155" s="2955"/>
      <c r="DM155" s="2955"/>
    </row>
    <row r="156" spans="1:117">
      <c r="B156" s="1914" t="str">
        <f t="shared" si="73"/>
        <v>2.5</v>
      </c>
      <c r="C156" s="1937" t="str">
        <f t="shared" si="69"/>
        <v>持続可能な森林から産出された木材</v>
      </c>
      <c r="D156" s="1938">
        <f t="shared" si="74"/>
        <v>0.1</v>
      </c>
      <c r="E156" s="1939">
        <f t="shared" si="74"/>
        <v>0</v>
      </c>
      <c r="G156" s="1939">
        <f t="shared" si="70"/>
        <v>0.1</v>
      </c>
      <c r="H156" s="1939">
        <f t="shared" si="71"/>
        <v>0</v>
      </c>
      <c r="I156" s="1939"/>
      <c r="J156" s="1939"/>
      <c r="K156" s="1939">
        <f>IF(スコア!Q156=0,0,1)</f>
        <v>1</v>
      </c>
      <c r="L156" s="1939">
        <f>IF(スコア!T156=0,0,1)</f>
        <v>0</v>
      </c>
      <c r="M156" s="1939">
        <f t="shared" si="72"/>
        <v>0.1</v>
      </c>
      <c r="N156" s="1939">
        <f t="shared" si="61"/>
        <v>0</v>
      </c>
      <c r="P156" s="1940" t="str">
        <f t="shared" si="77"/>
        <v>2.5</v>
      </c>
      <c r="Q156" s="1940" t="str">
        <f t="shared" si="77"/>
        <v>LR2 2</v>
      </c>
      <c r="R156" s="1941" t="str">
        <f t="shared" si="77"/>
        <v>持続可能な森林から産出された木材</v>
      </c>
      <c r="S156" s="1942">
        <f t="shared" si="76"/>
        <v>0.1</v>
      </c>
      <c r="T156" s="1942">
        <f t="shared" si="76"/>
        <v>0.1</v>
      </c>
      <c r="U156" s="1942">
        <f t="shared" si="76"/>
        <v>0.1</v>
      </c>
      <c r="V156" s="1942">
        <f t="shared" si="54"/>
        <v>0.1</v>
      </c>
      <c r="W156" s="1942">
        <f t="shared" si="54"/>
        <v>0.1</v>
      </c>
      <c r="X156" s="1942">
        <f t="shared" si="54"/>
        <v>0.1</v>
      </c>
      <c r="Y156" s="1942">
        <f t="shared" si="54"/>
        <v>0.1</v>
      </c>
      <c r="Z156" s="1951">
        <f t="shared" si="54"/>
        <v>0.1</v>
      </c>
      <c r="AA156" s="1942">
        <f t="shared" si="54"/>
        <v>0.1</v>
      </c>
      <c r="AB156" s="1942">
        <f t="shared" si="54"/>
        <v>0.1</v>
      </c>
      <c r="AC156" s="2028">
        <f t="shared" si="75"/>
        <v>0</v>
      </c>
      <c r="AD156" s="1961">
        <f t="shared" si="75"/>
        <v>0</v>
      </c>
      <c r="AE156" s="1961">
        <f t="shared" si="75"/>
        <v>0</v>
      </c>
      <c r="AG156" s="1940" t="s">
        <v>2311</v>
      </c>
      <c r="AH156" s="1944" t="s">
        <v>139</v>
      </c>
      <c r="AI156" s="1945" t="s">
        <v>2312</v>
      </c>
      <c r="AJ156" s="1947">
        <v>0.1</v>
      </c>
      <c r="AK156" s="1947">
        <v>0.1</v>
      </c>
      <c r="AL156" s="1947">
        <v>0.1</v>
      </c>
      <c r="AM156" s="1947">
        <v>0.1</v>
      </c>
      <c r="AN156" s="1947">
        <v>0.1</v>
      </c>
      <c r="AO156" s="1947">
        <v>0.1</v>
      </c>
      <c r="AP156" s="1947">
        <v>0.1</v>
      </c>
      <c r="AQ156" s="1947">
        <v>0.1</v>
      </c>
      <c r="AR156" s="1947">
        <v>0.1</v>
      </c>
      <c r="AS156" s="1947">
        <v>0.1</v>
      </c>
      <c r="AT156" s="2029"/>
      <c r="AU156" s="1963"/>
      <c r="AV156" s="1963"/>
      <c r="AX156" s="1940" t="s">
        <v>2311</v>
      </c>
      <c r="AY156" s="1944" t="s">
        <v>139</v>
      </c>
      <c r="AZ156" s="1945" t="s">
        <v>2312</v>
      </c>
      <c r="BA156" s="1947">
        <v>0.1</v>
      </c>
      <c r="BB156" s="1947">
        <v>0.1</v>
      </c>
      <c r="BC156" s="1947">
        <v>0.1</v>
      </c>
      <c r="BD156" s="1947">
        <v>0.1</v>
      </c>
      <c r="BE156" s="1947">
        <v>0.1</v>
      </c>
      <c r="BF156" s="1947">
        <v>0.1</v>
      </c>
      <c r="BG156" s="1947">
        <v>0.1</v>
      </c>
      <c r="BH156" s="1947">
        <v>0.1</v>
      </c>
      <c r="BI156" s="1947">
        <v>0.1</v>
      </c>
      <c r="BJ156" s="1947">
        <v>0.1</v>
      </c>
      <c r="BK156" s="2029"/>
      <c r="BL156" s="1963"/>
      <c r="BM156" s="1963"/>
      <c r="BO156" s="1940" t="s">
        <v>3720</v>
      </c>
      <c r="BP156" s="1944" t="s">
        <v>139</v>
      </c>
      <c r="BQ156" s="1945" t="s">
        <v>1058</v>
      </c>
      <c r="BR156" s="1947">
        <v>0.1</v>
      </c>
      <c r="BS156" s="1947">
        <v>0.1</v>
      </c>
      <c r="BT156" s="1947">
        <v>0.1</v>
      </c>
      <c r="BU156" s="1947">
        <v>0.1</v>
      </c>
      <c r="BV156" s="1947">
        <v>0.1</v>
      </c>
      <c r="BW156" s="1947">
        <v>0.1</v>
      </c>
      <c r="BX156" s="1947">
        <v>0.1</v>
      </c>
      <c r="BY156" s="1947">
        <v>0.1</v>
      </c>
      <c r="BZ156" s="1947">
        <v>0.1</v>
      </c>
      <c r="CA156" s="1947">
        <v>0.1</v>
      </c>
      <c r="CB156" s="2029"/>
      <c r="CC156" s="1963"/>
      <c r="CD156" s="1963"/>
      <c r="CE156" s="2296"/>
      <c r="CG156" s="1940" t="s">
        <v>3595</v>
      </c>
      <c r="CH156" s="1944" t="s">
        <v>139</v>
      </c>
      <c r="CI156" s="1945" t="s">
        <v>3596</v>
      </c>
      <c r="CJ156" s="2945">
        <v>0.04</v>
      </c>
      <c r="CK156" s="2945">
        <v>0.04</v>
      </c>
      <c r="CL156" s="2945">
        <v>0.04</v>
      </c>
      <c r="CM156" s="2945">
        <v>0.04</v>
      </c>
      <c r="CN156" s="2945">
        <v>0.04</v>
      </c>
      <c r="CO156" s="2945">
        <v>0.04</v>
      </c>
      <c r="CP156" s="2945">
        <v>0.04</v>
      </c>
      <c r="CQ156" s="2945">
        <v>0.04</v>
      </c>
      <c r="CR156" s="2945">
        <v>0.04</v>
      </c>
      <c r="CS156" s="2945">
        <v>0.04</v>
      </c>
      <c r="CT156" s="3000">
        <f t="shared" si="57"/>
        <v>0</v>
      </c>
      <c r="CU156" s="2954">
        <f t="shared" si="57"/>
        <v>0</v>
      </c>
      <c r="CV156" s="2954">
        <f t="shared" si="57"/>
        <v>0</v>
      </c>
      <c r="CW156" s="2445"/>
      <c r="CX156" s="1940" t="s">
        <v>3597</v>
      </c>
      <c r="CY156" s="1944" t="s">
        <v>139</v>
      </c>
      <c r="CZ156" s="1945" t="s">
        <v>3596</v>
      </c>
      <c r="DA156" s="2944">
        <v>0.4</v>
      </c>
      <c r="DB156" s="2945"/>
      <c r="DC156" s="2945"/>
      <c r="DD156" s="2945"/>
      <c r="DE156" s="2945"/>
      <c r="DF156" s="2945"/>
      <c r="DG156" s="2945"/>
      <c r="DH156" s="2945"/>
      <c r="DI156" s="2945"/>
      <c r="DJ156" s="2945"/>
      <c r="DK156" s="3001"/>
      <c r="DL156" s="2955"/>
      <c r="DM156" s="2955"/>
    </row>
    <row r="157" spans="1:117">
      <c r="B157" s="1914" t="str">
        <f t="shared" si="73"/>
        <v>2.6</v>
      </c>
      <c r="C157" s="1941" t="str">
        <f t="shared" si="69"/>
        <v>部材の再利用可能性向上への取組み</v>
      </c>
      <c r="D157" s="1938">
        <f t="shared" si="74"/>
        <v>0.2</v>
      </c>
      <c r="E157" s="1939">
        <f t="shared" si="74"/>
        <v>0</v>
      </c>
      <c r="G157" s="1939">
        <f t="shared" si="70"/>
        <v>0.2</v>
      </c>
      <c r="H157" s="1939">
        <f t="shared" si="71"/>
        <v>0</v>
      </c>
      <c r="I157" s="1939"/>
      <c r="J157" s="1939"/>
      <c r="K157" s="1939">
        <f>IF(スコア!Q157=0,0,1)</f>
        <v>1</v>
      </c>
      <c r="L157" s="1939">
        <f>IF(スコア!T157=0,0,1)</f>
        <v>0</v>
      </c>
      <c r="M157" s="1939">
        <f t="shared" si="72"/>
        <v>0.2</v>
      </c>
      <c r="N157" s="1939">
        <f t="shared" ref="N157:N194" si="78">(AC$7*AC157)+(AD$7*AD157)+(AE$7*AE157)</f>
        <v>0</v>
      </c>
      <c r="P157" s="1940" t="str">
        <f t="shared" si="77"/>
        <v>2.6</v>
      </c>
      <c r="Q157" s="1940" t="str">
        <f t="shared" si="77"/>
        <v>LR2 2</v>
      </c>
      <c r="R157" s="1941" t="str">
        <f t="shared" si="77"/>
        <v>部材の再利用可能性向上への取組み</v>
      </c>
      <c r="S157" s="1942">
        <f t="shared" si="76"/>
        <v>0.2</v>
      </c>
      <c r="T157" s="1942">
        <f t="shared" si="76"/>
        <v>0.2</v>
      </c>
      <c r="U157" s="1942">
        <f t="shared" si="76"/>
        <v>0.2</v>
      </c>
      <c r="V157" s="1942">
        <f t="shared" si="54"/>
        <v>0.2</v>
      </c>
      <c r="W157" s="1942">
        <f t="shared" si="54"/>
        <v>0.2</v>
      </c>
      <c r="X157" s="1942">
        <f t="shared" si="54"/>
        <v>0.2</v>
      </c>
      <c r="Y157" s="1942">
        <f t="shared" si="54"/>
        <v>0.2</v>
      </c>
      <c r="Z157" s="1951">
        <f t="shared" si="54"/>
        <v>0.2</v>
      </c>
      <c r="AA157" s="1942">
        <f t="shared" si="54"/>
        <v>0.2</v>
      </c>
      <c r="AB157" s="1942">
        <f t="shared" si="54"/>
        <v>0.2</v>
      </c>
      <c r="AC157" s="2028">
        <f t="shared" si="75"/>
        <v>0</v>
      </c>
      <c r="AD157" s="1961">
        <f t="shared" si="75"/>
        <v>0</v>
      </c>
      <c r="AE157" s="1961">
        <f t="shared" si="75"/>
        <v>0</v>
      </c>
      <c r="AG157" s="1940" t="s">
        <v>2313</v>
      </c>
      <c r="AH157" s="1944" t="s">
        <v>139</v>
      </c>
      <c r="AI157" s="1941" t="s">
        <v>1059</v>
      </c>
      <c r="AJ157" s="1947">
        <v>0.2</v>
      </c>
      <c r="AK157" s="1947">
        <v>0.2</v>
      </c>
      <c r="AL157" s="1947">
        <v>0.2</v>
      </c>
      <c r="AM157" s="1947">
        <v>0.2</v>
      </c>
      <c r="AN157" s="1947">
        <v>0.2</v>
      </c>
      <c r="AO157" s="1947">
        <v>0.2</v>
      </c>
      <c r="AP157" s="1947">
        <v>0.2</v>
      </c>
      <c r="AQ157" s="1947">
        <v>0.2</v>
      </c>
      <c r="AR157" s="1947">
        <v>0.2</v>
      </c>
      <c r="AS157" s="1947">
        <v>0.2</v>
      </c>
      <c r="AT157" s="2029"/>
      <c r="AU157" s="1963"/>
      <c r="AV157" s="1963"/>
      <c r="AX157" s="1940" t="s">
        <v>1174</v>
      </c>
      <c r="AY157" s="1944" t="s">
        <v>139</v>
      </c>
      <c r="AZ157" s="1941" t="s">
        <v>1059</v>
      </c>
      <c r="BA157" s="1947">
        <v>0.2</v>
      </c>
      <c r="BB157" s="1947">
        <v>0.2</v>
      </c>
      <c r="BC157" s="1947">
        <v>0.2</v>
      </c>
      <c r="BD157" s="1947">
        <v>0.2</v>
      </c>
      <c r="BE157" s="1947">
        <v>0.2</v>
      </c>
      <c r="BF157" s="1947">
        <v>0.2</v>
      </c>
      <c r="BG157" s="1947">
        <v>0.2</v>
      </c>
      <c r="BH157" s="1947">
        <v>0.2</v>
      </c>
      <c r="BI157" s="1947">
        <v>0.2</v>
      </c>
      <c r="BJ157" s="1947">
        <v>0.2</v>
      </c>
      <c r="BK157" s="2029"/>
      <c r="BL157" s="1963"/>
      <c r="BM157" s="1963"/>
      <c r="BO157" s="1940" t="s">
        <v>3721</v>
      </c>
      <c r="BP157" s="1944" t="s">
        <v>139</v>
      </c>
      <c r="BQ157" s="1941" t="s">
        <v>3768</v>
      </c>
      <c r="BR157" s="1947">
        <v>0.2</v>
      </c>
      <c r="BS157" s="1947">
        <v>0.2</v>
      </c>
      <c r="BT157" s="1947">
        <v>0.2</v>
      </c>
      <c r="BU157" s="1947">
        <v>0.2</v>
      </c>
      <c r="BV157" s="1947">
        <v>0.2</v>
      </c>
      <c r="BW157" s="1947">
        <v>0.2</v>
      </c>
      <c r="BX157" s="1947">
        <v>0.2</v>
      </c>
      <c r="BY157" s="1947">
        <v>0.2</v>
      </c>
      <c r="BZ157" s="1947">
        <v>0.2</v>
      </c>
      <c r="CA157" s="1947">
        <v>0.2</v>
      </c>
      <c r="CB157" s="2029"/>
      <c r="CC157" s="1963"/>
      <c r="CD157" s="1963"/>
      <c r="CE157" s="2296"/>
      <c r="CG157" s="1940" t="s">
        <v>3598</v>
      </c>
      <c r="CH157" s="1944" t="s">
        <v>139</v>
      </c>
      <c r="CI157" s="1941"/>
      <c r="CJ157" s="2945">
        <v>0</v>
      </c>
      <c r="CK157" s="2945">
        <v>0</v>
      </c>
      <c r="CL157" s="2945">
        <v>0</v>
      </c>
      <c r="CM157" s="2945">
        <v>0</v>
      </c>
      <c r="CN157" s="2945">
        <v>0</v>
      </c>
      <c r="CO157" s="2945">
        <v>0</v>
      </c>
      <c r="CP157" s="2945">
        <v>0</v>
      </c>
      <c r="CQ157" s="2945">
        <v>0</v>
      </c>
      <c r="CR157" s="2945">
        <v>0</v>
      </c>
      <c r="CS157" s="2945">
        <v>0</v>
      </c>
      <c r="CT157" s="3000">
        <f t="shared" si="57"/>
        <v>0</v>
      </c>
      <c r="CU157" s="2954">
        <f t="shared" si="57"/>
        <v>0</v>
      </c>
      <c r="CV157" s="2954">
        <f t="shared" si="57"/>
        <v>0</v>
      </c>
      <c r="CW157" s="2445"/>
      <c r="CX157" s="1940" t="s">
        <v>3598</v>
      </c>
      <c r="CY157" s="1944" t="s">
        <v>139</v>
      </c>
      <c r="CZ157" s="1941" t="s">
        <v>1059</v>
      </c>
      <c r="DA157" s="2944">
        <v>0.4</v>
      </c>
      <c r="DB157" s="2945"/>
      <c r="DC157" s="2945"/>
      <c r="DD157" s="2945"/>
      <c r="DE157" s="2945"/>
      <c r="DF157" s="2945"/>
      <c r="DG157" s="2945"/>
      <c r="DH157" s="2945"/>
      <c r="DI157" s="2945"/>
      <c r="DJ157" s="2945"/>
      <c r="DK157" s="3001"/>
      <c r="DL157" s="2955"/>
      <c r="DM157" s="2955"/>
    </row>
    <row r="158" spans="1:117" hidden="1">
      <c r="A158" s="2445"/>
      <c r="B158" s="1914" t="str">
        <f t="shared" si="73"/>
        <v>2.6</v>
      </c>
      <c r="C158" s="1941">
        <f t="shared" si="69"/>
        <v>0</v>
      </c>
      <c r="D158" s="1938">
        <f>IF(I$151=0,0,G158/I$151)</f>
        <v>0</v>
      </c>
      <c r="E158" s="1939">
        <f>IF(J$151=0,0,H158/J$151)</f>
        <v>0</v>
      </c>
      <c r="F158" s="2445"/>
      <c r="G158" s="1939">
        <f>K158*M158</f>
        <v>0</v>
      </c>
      <c r="H158" s="1939">
        <f t="shared" si="71"/>
        <v>0</v>
      </c>
      <c r="I158" s="1939">
        <f>SUM(G159:G164)</f>
        <v>0</v>
      </c>
      <c r="J158" s="1939">
        <f>SUM(H159:H164)</f>
        <v>0</v>
      </c>
      <c r="K158" s="1939"/>
      <c r="L158" s="1939"/>
      <c r="M158" s="1939">
        <f>SUMPRODUCT($S$7:$AB$7,S158:AB158)</f>
        <v>0</v>
      </c>
      <c r="N158" s="1939">
        <f>(AC$7*AC158)+(AD$7*AD158)+(AE$7*AE158)</f>
        <v>0</v>
      </c>
      <c r="O158" s="2445"/>
      <c r="P158" s="1940" t="str">
        <f t="shared" si="77"/>
        <v>2.6</v>
      </c>
      <c r="Q158" s="1940" t="str">
        <f t="shared" si="77"/>
        <v>LR2 2</v>
      </c>
      <c r="R158" s="1941">
        <f t="shared" si="77"/>
        <v>0</v>
      </c>
      <c r="S158" s="1942">
        <f t="shared" si="76"/>
        <v>0</v>
      </c>
      <c r="T158" s="1942">
        <f t="shared" si="76"/>
        <v>0</v>
      </c>
      <c r="U158" s="1942">
        <f t="shared" si="76"/>
        <v>0</v>
      </c>
      <c r="V158" s="1942">
        <f t="shared" si="54"/>
        <v>0</v>
      </c>
      <c r="W158" s="1942">
        <f t="shared" si="54"/>
        <v>0</v>
      </c>
      <c r="X158" s="1942">
        <f t="shared" si="54"/>
        <v>0</v>
      </c>
      <c r="Y158" s="1942">
        <f t="shared" si="54"/>
        <v>0</v>
      </c>
      <c r="Z158" s="1951">
        <f t="shared" si="54"/>
        <v>0</v>
      </c>
      <c r="AA158" s="1942">
        <f t="shared" si="54"/>
        <v>0</v>
      </c>
      <c r="AB158" s="1942">
        <f t="shared" si="54"/>
        <v>0</v>
      </c>
      <c r="AC158" s="2028">
        <f t="shared" si="75"/>
        <v>0</v>
      </c>
      <c r="AD158" s="1961">
        <f t="shared" si="75"/>
        <v>0</v>
      </c>
      <c r="AE158" s="1961">
        <f t="shared" si="75"/>
        <v>0</v>
      </c>
      <c r="AF158" s="2445"/>
      <c r="AG158" s="1940"/>
      <c r="AH158" s="1944"/>
      <c r="AI158" s="1941"/>
      <c r="AJ158" s="1947"/>
      <c r="AK158" s="1947"/>
      <c r="AL158" s="1947"/>
      <c r="AM158" s="1947"/>
      <c r="AN158" s="1947"/>
      <c r="AO158" s="1947"/>
      <c r="AP158" s="1947"/>
      <c r="AQ158" s="1947"/>
      <c r="AR158" s="1947"/>
      <c r="AS158" s="1947"/>
      <c r="AT158" s="2029"/>
      <c r="AU158" s="1963"/>
      <c r="AV158" s="1963"/>
      <c r="AW158" s="2445"/>
      <c r="AX158" s="1940"/>
      <c r="AY158" s="1944"/>
      <c r="AZ158" s="1941"/>
      <c r="BA158" s="1947"/>
      <c r="BB158" s="1947"/>
      <c r="BC158" s="1947"/>
      <c r="BD158" s="1947"/>
      <c r="BE158" s="1947"/>
      <c r="BF158" s="1947"/>
      <c r="BG158" s="1947"/>
      <c r="BH158" s="1947"/>
      <c r="BI158" s="1947"/>
      <c r="BJ158" s="1947"/>
      <c r="BK158" s="2029"/>
      <c r="BL158" s="1963"/>
      <c r="BM158" s="1963"/>
      <c r="BN158" s="2445"/>
      <c r="BO158" s="1940" t="s">
        <v>3721</v>
      </c>
      <c r="BP158" s="1944" t="s">
        <v>139</v>
      </c>
      <c r="BQ158" s="1941"/>
      <c r="BR158" s="1947"/>
      <c r="BS158" s="1947"/>
      <c r="BT158" s="1947"/>
      <c r="BU158" s="1947"/>
      <c r="BV158" s="1947"/>
      <c r="BW158" s="1947"/>
      <c r="BX158" s="1947"/>
      <c r="BY158" s="1947"/>
      <c r="BZ158" s="1947"/>
      <c r="CA158" s="1947"/>
      <c r="CB158" s="2029"/>
      <c r="CC158" s="1963"/>
      <c r="CD158" s="1963"/>
      <c r="CE158" s="2296"/>
      <c r="CF158" s="2445"/>
      <c r="CG158" s="1940" t="s">
        <v>3598</v>
      </c>
      <c r="CH158" s="1944" t="s">
        <v>139</v>
      </c>
      <c r="CI158" s="1941" t="s">
        <v>3599</v>
      </c>
      <c r="CJ158" s="2945">
        <v>0.65</v>
      </c>
      <c r="CK158" s="2945">
        <v>0.65</v>
      </c>
      <c r="CL158" s="2945">
        <v>0.65</v>
      </c>
      <c r="CM158" s="2945">
        <v>0.65</v>
      </c>
      <c r="CN158" s="2945">
        <v>0.65</v>
      </c>
      <c r="CO158" s="2945">
        <v>0.65</v>
      </c>
      <c r="CP158" s="2945">
        <v>0.65</v>
      </c>
      <c r="CQ158" s="2945">
        <v>0.65</v>
      </c>
      <c r="CR158" s="2945">
        <v>0.65</v>
      </c>
      <c r="CS158" s="2945">
        <v>0.65</v>
      </c>
      <c r="CT158" s="3000">
        <f t="shared" si="57"/>
        <v>0</v>
      </c>
      <c r="CU158" s="2954">
        <f t="shared" si="57"/>
        <v>0</v>
      </c>
      <c r="CV158" s="2954">
        <f t="shared" si="57"/>
        <v>0</v>
      </c>
      <c r="CW158" s="2445"/>
      <c r="CX158" s="1940" t="s">
        <v>3598</v>
      </c>
      <c r="CY158" s="1944" t="s">
        <v>139</v>
      </c>
      <c r="CZ158" s="1941"/>
      <c r="DA158" s="2945">
        <f t="shared" si="66"/>
        <v>0</v>
      </c>
      <c r="DB158" s="2945"/>
      <c r="DC158" s="2945"/>
      <c r="DD158" s="2945"/>
      <c r="DE158" s="2945"/>
      <c r="DF158" s="2945"/>
      <c r="DG158" s="2945"/>
      <c r="DH158" s="2945"/>
      <c r="DI158" s="2945"/>
      <c r="DJ158" s="2945"/>
      <c r="DK158" s="3001"/>
      <c r="DL158" s="2955"/>
      <c r="DM158" s="2955"/>
    </row>
    <row r="159" spans="1:117" hidden="1">
      <c r="A159" s="2445"/>
      <c r="B159" s="1914" t="s">
        <v>3722</v>
      </c>
      <c r="C159" s="1941">
        <f t="shared" si="69"/>
        <v>0</v>
      </c>
      <c r="D159" s="1938">
        <f>IF(I$158&gt;0,G159/I$158,0)</f>
        <v>0</v>
      </c>
      <c r="E159" s="1939">
        <f>IF(J$158&gt;0,H159/J$158,0)</f>
        <v>0</v>
      </c>
      <c r="F159" s="2445"/>
      <c r="G159" s="1939">
        <f t="shared" ref="G159:G165" si="79">K159*M159</f>
        <v>0</v>
      </c>
      <c r="H159" s="1939">
        <f t="shared" si="71"/>
        <v>0</v>
      </c>
      <c r="I159" s="1939"/>
      <c r="J159" s="1939"/>
      <c r="K159" s="1939"/>
      <c r="L159" s="1939"/>
      <c r="M159" s="1939">
        <f t="shared" ref="M159:M165" si="80">SUMPRODUCT($S$7:$AB$7,S159:AB159)</f>
        <v>0</v>
      </c>
      <c r="N159" s="1939">
        <f t="shared" ref="N159:N165" si="81">(AC$7*AC159)+(AD$7*AD159)+(AE$7*AE159)</f>
        <v>0</v>
      </c>
      <c r="O159" s="2445"/>
      <c r="P159" s="1940" t="str">
        <f t="shared" si="77"/>
        <v>2.6.1</v>
      </c>
      <c r="Q159" s="1940" t="str">
        <f t="shared" si="77"/>
        <v>LR2 2.2</v>
      </c>
      <c r="R159" s="1941">
        <f t="shared" si="77"/>
        <v>0</v>
      </c>
      <c r="S159" s="1942">
        <f t="shared" si="76"/>
        <v>0</v>
      </c>
      <c r="T159" s="1942">
        <f t="shared" si="76"/>
        <v>0</v>
      </c>
      <c r="U159" s="1942">
        <f t="shared" si="76"/>
        <v>0</v>
      </c>
      <c r="V159" s="1942">
        <f t="shared" si="54"/>
        <v>0</v>
      </c>
      <c r="W159" s="1942">
        <f t="shared" si="54"/>
        <v>0</v>
      </c>
      <c r="X159" s="1942">
        <f t="shared" si="54"/>
        <v>0</v>
      </c>
      <c r="Y159" s="1942">
        <f t="shared" si="54"/>
        <v>0</v>
      </c>
      <c r="Z159" s="1951">
        <f t="shared" si="54"/>
        <v>0</v>
      </c>
      <c r="AA159" s="1942">
        <f t="shared" si="54"/>
        <v>0</v>
      </c>
      <c r="AB159" s="1942">
        <f t="shared" si="54"/>
        <v>0</v>
      </c>
      <c r="AC159" s="2028">
        <f t="shared" si="75"/>
        <v>0</v>
      </c>
      <c r="AD159" s="1961">
        <f t="shared" si="75"/>
        <v>0</v>
      </c>
      <c r="AE159" s="1961">
        <f t="shared" si="75"/>
        <v>0</v>
      </c>
      <c r="AF159" s="2445"/>
      <c r="AG159" s="1940"/>
      <c r="AH159" s="1944"/>
      <c r="AI159" s="1941"/>
      <c r="AJ159" s="1947"/>
      <c r="AK159" s="1947"/>
      <c r="AL159" s="1947"/>
      <c r="AM159" s="1947"/>
      <c r="AN159" s="1947"/>
      <c r="AO159" s="1947"/>
      <c r="AP159" s="1947"/>
      <c r="AQ159" s="1947"/>
      <c r="AR159" s="1947"/>
      <c r="AS159" s="1947"/>
      <c r="AT159" s="2029"/>
      <c r="AU159" s="1963"/>
      <c r="AV159" s="1963"/>
      <c r="AW159" s="2445"/>
      <c r="AX159" s="1940"/>
      <c r="AY159" s="1944"/>
      <c r="AZ159" s="1941"/>
      <c r="BA159" s="1947"/>
      <c r="BB159" s="1947"/>
      <c r="BC159" s="1947"/>
      <c r="BD159" s="1947"/>
      <c r="BE159" s="1947"/>
      <c r="BF159" s="1947"/>
      <c r="BG159" s="1947"/>
      <c r="BH159" s="1947"/>
      <c r="BI159" s="1947"/>
      <c r="BJ159" s="1947"/>
      <c r="BK159" s="2029"/>
      <c r="BL159" s="1963"/>
      <c r="BM159" s="1963"/>
      <c r="BN159" s="2445"/>
      <c r="BO159" s="1940" t="s">
        <v>3722</v>
      </c>
      <c r="BP159" s="1944" t="s">
        <v>3723</v>
      </c>
      <c r="BQ159" s="1941"/>
      <c r="BR159" s="1947"/>
      <c r="BS159" s="1947"/>
      <c r="BT159" s="1947"/>
      <c r="BU159" s="1947"/>
      <c r="BV159" s="1947"/>
      <c r="BW159" s="1947"/>
      <c r="BX159" s="1947"/>
      <c r="BY159" s="1947"/>
      <c r="BZ159" s="1947"/>
      <c r="CA159" s="1947"/>
      <c r="CB159" s="2029"/>
      <c r="CC159" s="1963"/>
      <c r="CD159" s="1963"/>
      <c r="CE159" s="2296"/>
      <c r="CF159" s="2445"/>
      <c r="CG159" s="1940" t="s">
        <v>3600</v>
      </c>
      <c r="CH159" s="1944" t="s">
        <v>3601</v>
      </c>
      <c r="CI159" s="1941" t="s">
        <v>3602</v>
      </c>
      <c r="CJ159" s="2945">
        <v>0.25</v>
      </c>
      <c r="CK159" s="2945">
        <v>0.25</v>
      </c>
      <c r="CL159" s="2945">
        <v>0.25</v>
      </c>
      <c r="CM159" s="2945">
        <v>0.25</v>
      </c>
      <c r="CN159" s="2945">
        <v>0.25</v>
      </c>
      <c r="CO159" s="2945">
        <v>0.25</v>
      </c>
      <c r="CP159" s="2945">
        <v>0.25</v>
      </c>
      <c r="CQ159" s="2945">
        <v>0.25</v>
      </c>
      <c r="CR159" s="2945">
        <v>0.25</v>
      </c>
      <c r="CS159" s="2945">
        <v>0.25</v>
      </c>
      <c r="CT159" s="3000">
        <f t="shared" si="57"/>
        <v>0</v>
      </c>
      <c r="CU159" s="2954">
        <f t="shared" si="57"/>
        <v>0</v>
      </c>
      <c r="CV159" s="2954">
        <f t="shared" si="57"/>
        <v>0</v>
      </c>
      <c r="CW159" s="2445"/>
      <c r="CX159" s="1940" t="s">
        <v>3600</v>
      </c>
      <c r="CY159" s="1944" t="s">
        <v>3601</v>
      </c>
      <c r="CZ159" s="1941"/>
      <c r="DA159" s="2945">
        <f t="shared" si="66"/>
        <v>0</v>
      </c>
      <c r="DB159" s="2945"/>
      <c r="DC159" s="2945"/>
      <c r="DD159" s="2945"/>
      <c r="DE159" s="2945"/>
      <c r="DF159" s="2945"/>
      <c r="DG159" s="2945"/>
      <c r="DH159" s="2945"/>
      <c r="DI159" s="2945"/>
      <c r="DJ159" s="2945"/>
      <c r="DK159" s="3001"/>
      <c r="DL159" s="2955"/>
      <c r="DM159" s="2955"/>
    </row>
    <row r="160" spans="1:117" hidden="1">
      <c r="A160" s="2445"/>
      <c r="B160" s="1914" t="s">
        <v>3603</v>
      </c>
      <c r="C160" s="1941">
        <f t="shared" si="69"/>
        <v>0</v>
      </c>
      <c r="D160" s="1938">
        <f t="shared" ref="D160:E163" si="82">IF(I$158&gt;0,G160/I$158,0)</f>
        <v>0</v>
      </c>
      <c r="E160" s="1939">
        <f>IF(J$158&gt;0,H160/J$158,0)</f>
        <v>0</v>
      </c>
      <c r="F160" s="2445"/>
      <c r="G160" s="1939">
        <f t="shared" si="79"/>
        <v>0</v>
      </c>
      <c r="H160" s="1939">
        <f t="shared" si="71"/>
        <v>0</v>
      </c>
      <c r="I160" s="1939"/>
      <c r="J160" s="1939"/>
      <c r="K160" s="1939"/>
      <c r="L160" s="1939"/>
      <c r="M160" s="1939">
        <f t="shared" si="80"/>
        <v>0</v>
      </c>
      <c r="N160" s="1939">
        <f t="shared" si="81"/>
        <v>0</v>
      </c>
      <c r="O160" s="2445"/>
      <c r="P160" s="1940" t="str">
        <f t="shared" si="77"/>
        <v>2.6.2</v>
      </c>
      <c r="Q160" s="1940" t="str">
        <f t="shared" si="77"/>
        <v>LR2 2.2</v>
      </c>
      <c r="R160" s="1941">
        <f t="shared" si="77"/>
        <v>0</v>
      </c>
      <c r="S160" s="1942">
        <f t="shared" si="76"/>
        <v>0</v>
      </c>
      <c r="T160" s="1942">
        <f t="shared" si="76"/>
        <v>0</v>
      </c>
      <c r="U160" s="1942">
        <f t="shared" si="76"/>
        <v>0</v>
      </c>
      <c r="V160" s="1942">
        <f t="shared" si="54"/>
        <v>0</v>
      </c>
      <c r="W160" s="1942">
        <f t="shared" si="54"/>
        <v>0</v>
      </c>
      <c r="X160" s="1942">
        <f t="shared" si="54"/>
        <v>0</v>
      </c>
      <c r="Y160" s="1942">
        <f t="shared" si="54"/>
        <v>0</v>
      </c>
      <c r="Z160" s="1951">
        <f t="shared" si="54"/>
        <v>0</v>
      </c>
      <c r="AA160" s="1942">
        <f t="shared" si="54"/>
        <v>0</v>
      </c>
      <c r="AB160" s="1942">
        <f t="shared" si="54"/>
        <v>0</v>
      </c>
      <c r="AC160" s="2028">
        <f t="shared" si="75"/>
        <v>0</v>
      </c>
      <c r="AD160" s="1961">
        <f t="shared" si="75"/>
        <v>0</v>
      </c>
      <c r="AE160" s="1961">
        <f t="shared" si="75"/>
        <v>0</v>
      </c>
      <c r="AF160" s="2445"/>
      <c r="AG160" s="1940"/>
      <c r="AH160" s="1944"/>
      <c r="AI160" s="1941"/>
      <c r="AJ160" s="1947"/>
      <c r="AK160" s="1947"/>
      <c r="AL160" s="1947"/>
      <c r="AM160" s="1947"/>
      <c r="AN160" s="1947"/>
      <c r="AO160" s="1947"/>
      <c r="AP160" s="1947"/>
      <c r="AQ160" s="1947"/>
      <c r="AR160" s="1947"/>
      <c r="AS160" s="1947"/>
      <c r="AT160" s="2029"/>
      <c r="AU160" s="1963"/>
      <c r="AV160" s="1963"/>
      <c r="AW160" s="2445"/>
      <c r="AX160" s="1940"/>
      <c r="AY160" s="1944"/>
      <c r="AZ160" s="1941"/>
      <c r="BA160" s="1947"/>
      <c r="BB160" s="1947"/>
      <c r="BC160" s="1947"/>
      <c r="BD160" s="1947"/>
      <c r="BE160" s="1947"/>
      <c r="BF160" s="1947"/>
      <c r="BG160" s="1947"/>
      <c r="BH160" s="1947"/>
      <c r="BI160" s="1947"/>
      <c r="BJ160" s="1947"/>
      <c r="BK160" s="2029"/>
      <c r="BL160" s="1963"/>
      <c r="BM160" s="1963"/>
      <c r="BN160" s="2445"/>
      <c r="BO160" s="1940" t="s">
        <v>3603</v>
      </c>
      <c r="BP160" s="1944" t="s">
        <v>3723</v>
      </c>
      <c r="BQ160" s="1941"/>
      <c r="BR160" s="1947"/>
      <c r="BS160" s="1947"/>
      <c r="BT160" s="1947"/>
      <c r="BU160" s="1947"/>
      <c r="BV160" s="1947"/>
      <c r="BW160" s="1947"/>
      <c r="BX160" s="1947"/>
      <c r="BY160" s="1947"/>
      <c r="BZ160" s="1947"/>
      <c r="CA160" s="1947"/>
      <c r="CB160" s="2029"/>
      <c r="CC160" s="1963"/>
      <c r="CD160" s="1963"/>
      <c r="CE160" s="2296"/>
      <c r="CF160" s="2445"/>
      <c r="CG160" s="1940" t="s">
        <v>3603</v>
      </c>
      <c r="CH160" s="1944" t="s">
        <v>3601</v>
      </c>
      <c r="CI160" s="1941" t="s">
        <v>3604</v>
      </c>
      <c r="CJ160" s="2945">
        <v>0.15</v>
      </c>
      <c r="CK160" s="2945">
        <v>0.15</v>
      </c>
      <c r="CL160" s="2945">
        <v>0.15</v>
      </c>
      <c r="CM160" s="2945">
        <v>0.15</v>
      </c>
      <c r="CN160" s="2945">
        <v>0.15</v>
      </c>
      <c r="CO160" s="2945">
        <v>0.15</v>
      </c>
      <c r="CP160" s="2945">
        <v>0.15</v>
      </c>
      <c r="CQ160" s="2945">
        <v>0.15</v>
      </c>
      <c r="CR160" s="2945">
        <v>0.15</v>
      </c>
      <c r="CS160" s="2945">
        <v>0.15</v>
      </c>
      <c r="CT160" s="3000">
        <f t="shared" si="57"/>
        <v>0</v>
      </c>
      <c r="CU160" s="2954">
        <f t="shared" si="57"/>
        <v>0</v>
      </c>
      <c r="CV160" s="2954">
        <f t="shared" si="57"/>
        <v>0</v>
      </c>
      <c r="CW160" s="2445"/>
      <c r="CX160" s="1940" t="s">
        <v>3603</v>
      </c>
      <c r="CY160" s="1944" t="s">
        <v>3601</v>
      </c>
      <c r="CZ160" s="1941"/>
      <c r="DA160" s="2945">
        <f t="shared" si="66"/>
        <v>0</v>
      </c>
      <c r="DB160" s="2945"/>
      <c r="DC160" s="2945"/>
      <c r="DD160" s="2945"/>
      <c r="DE160" s="2945"/>
      <c r="DF160" s="2945"/>
      <c r="DG160" s="2945"/>
      <c r="DH160" s="2945"/>
      <c r="DI160" s="2945"/>
      <c r="DJ160" s="2945"/>
      <c r="DK160" s="3001"/>
      <c r="DL160" s="2955"/>
      <c r="DM160" s="2955"/>
    </row>
    <row r="161" spans="1:117" hidden="1">
      <c r="A161" s="2445"/>
      <c r="B161" s="1914" t="s">
        <v>3605</v>
      </c>
      <c r="C161" s="1941">
        <f t="shared" si="69"/>
        <v>0</v>
      </c>
      <c r="D161" s="1938">
        <f t="shared" si="82"/>
        <v>0</v>
      </c>
      <c r="E161" s="1939">
        <f t="shared" si="82"/>
        <v>0</v>
      </c>
      <c r="F161" s="2445"/>
      <c r="G161" s="1939">
        <f t="shared" si="79"/>
        <v>0</v>
      </c>
      <c r="H161" s="1939">
        <f t="shared" si="71"/>
        <v>0</v>
      </c>
      <c r="I161" s="1939"/>
      <c r="J161" s="1939"/>
      <c r="K161" s="1939"/>
      <c r="L161" s="1939"/>
      <c r="M161" s="1939">
        <f t="shared" si="80"/>
        <v>0</v>
      </c>
      <c r="N161" s="1939">
        <f t="shared" si="81"/>
        <v>0</v>
      </c>
      <c r="O161" s="2445"/>
      <c r="P161" s="1940" t="str">
        <f t="shared" si="77"/>
        <v>2.6.3</v>
      </c>
      <c r="Q161" s="1940" t="str">
        <f t="shared" si="77"/>
        <v>LR2 2.2</v>
      </c>
      <c r="R161" s="1941">
        <f t="shared" si="77"/>
        <v>0</v>
      </c>
      <c r="S161" s="1942">
        <f t="shared" si="76"/>
        <v>0</v>
      </c>
      <c r="T161" s="1942">
        <f t="shared" si="76"/>
        <v>0</v>
      </c>
      <c r="U161" s="1942">
        <f t="shared" si="76"/>
        <v>0</v>
      </c>
      <c r="V161" s="1942">
        <f t="shared" si="54"/>
        <v>0</v>
      </c>
      <c r="W161" s="1942">
        <f t="shared" si="54"/>
        <v>0</v>
      </c>
      <c r="X161" s="1942">
        <f t="shared" si="54"/>
        <v>0</v>
      </c>
      <c r="Y161" s="1942">
        <f t="shared" si="54"/>
        <v>0</v>
      </c>
      <c r="Z161" s="1951">
        <f t="shared" si="54"/>
        <v>0</v>
      </c>
      <c r="AA161" s="1942">
        <f t="shared" si="54"/>
        <v>0</v>
      </c>
      <c r="AB161" s="1942">
        <f t="shared" si="54"/>
        <v>0</v>
      </c>
      <c r="AC161" s="2028">
        <f t="shared" si="75"/>
        <v>0</v>
      </c>
      <c r="AD161" s="1961">
        <f t="shared" si="75"/>
        <v>0</v>
      </c>
      <c r="AE161" s="1961">
        <f t="shared" si="75"/>
        <v>0</v>
      </c>
      <c r="AF161" s="2445"/>
      <c r="AG161" s="1940"/>
      <c r="AH161" s="1944"/>
      <c r="AI161" s="1941"/>
      <c r="AJ161" s="1947"/>
      <c r="AK161" s="1947"/>
      <c r="AL161" s="1947"/>
      <c r="AM161" s="1947"/>
      <c r="AN161" s="1947"/>
      <c r="AO161" s="1947"/>
      <c r="AP161" s="1947"/>
      <c r="AQ161" s="1947"/>
      <c r="AR161" s="1947"/>
      <c r="AS161" s="1947"/>
      <c r="AT161" s="2029"/>
      <c r="AU161" s="1963"/>
      <c r="AV161" s="1963"/>
      <c r="AW161" s="2445"/>
      <c r="AX161" s="1940"/>
      <c r="AY161" s="1944"/>
      <c r="AZ161" s="1941"/>
      <c r="BA161" s="1947"/>
      <c r="BB161" s="1947"/>
      <c r="BC161" s="1947"/>
      <c r="BD161" s="1947"/>
      <c r="BE161" s="1947"/>
      <c r="BF161" s="1947"/>
      <c r="BG161" s="1947"/>
      <c r="BH161" s="1947"/>
      <c r="BI161" s="1947"/>
      <c r="BJ161" s="1947"/>
      <c r="BK161" s="2029"/>
      <c r="BL161" s="1963"/>
      <c r="BM161" s="1963"/>
      <c r="BN161" s="2445"/>
      <c r="BO161" s="1940" t="s">
        <v>3605</v>
      </c>
      <c r="BP161" s="1944" t="s">
        <v>3723</v>
      </c>
      <c r="BQ161" s="1941"/>
      <c r="BR161" s="1947"/>
      <c r="BS161" s="1947"/>
      <c r="BT161" s="1947"/>
      <c r="BU161" s="1947"/>
      <c r="BV161" s="1947"/>
      <c r="BW161" s="1947"/>
      <c r="BX161" s="1947"/>
      <c r="BY161" s="1947"/>
      <c r="BZ161" s="1947"/>
      <c r="CA161" s="1947"/>
      <c r="CB161" s="2029"/>
      <c r="CC161" s="1963"/>
      <c r="CD161" s="1963"/>
      <c r="CE161" s="2296"/>
      <c r="CF161" s="2445"/>
      <c r="CG161" s="1940" t="s">
        <v>3605</v>
      </c>
      <c r="CH161" s="1944" t="s">
        <v>3601</v>
      </c>
      <c r="CI161" s="1941" t="s">
        <v>3606</v>
      </c>
      <c r="CJ161" s="2945">
        <v>0.15</v>
      </c>
      <c r="CK161" s="2945">
        <v>0.15</v>
      </c>
      <c r="CL161" s="2945">
        <v>0.15</v>
      </c>
      <c r="CM161" s="2945">
        <v>0.15</v>
      </c>
      <c r="CN161" s="2945">
        <v>0.15</v>
      </c>
      <c r="CO161" s="2945">
        <v>0.15</v>
      </c>
      <c r="CP161" s="2945">
        <v>0.15</v>
      </c>
      <c r="CQ161" s="2945">
        <v>0.15</v>
      </c>
      <c r="CR161" s="2945">
        <v>0.15</v>
      </c>
      <c r="CS161" s="2945">
        <v>0.15</v>
      </c>
      <c r="CT161" s="3000">
        <f t="shared" si="57"/>
        <v>0</v>
      </c>
      <c r="CU161" s="2954">
        <f t="shared" si="57"/>
        <v>0</v>
      </c>
      <c r="CV161" s="2954">
        <f t="shared" si="57"/>
        <v>0</v>
      </c>
      <c r="CW161" s="2445"/>
      <c r="CX161" s="1940" t="s">
        <v>3605</v>
      </c>
      <c r="CY161" s="1944" t="s">
        <v>3601</v>
      </c>
      <c r="CZ161" s="1941"/>
      <c r="DA161" s="2945">
        <f t="shared" si="66"/>
        <v>0</v>
      </c>
      <c r="DB161" s="2945"/>
      <c r="DC161" s="2945"/>
      <c r="DD161" s="2945"/>
      <c r="DE161" s="2945"/>
      <c r="DF161" s="2945"/>
      <c r="DG161" s="2945"/>
      <c r="DH161" s="2945"/>
      <c r="DI161" s="2945"/>
      <c r="DJ161" s="2945"/>
      <c r="DK161" s="3001"/>
      <c r="DL161" s="2955"/>
      <c r="DM161" s="2955"/>
    </row>
    <row r="162" spans="1:117" hidden="1">
      <c r="A162" s="2445"/>
      <c r="B162" s="1914" t="s">
        <v>3607</v>
      </c>
      <c r="C162" s="1941">
        <f t="shared" si="69"/>
        <v>0</v>
      </c>
      <c r="D162" s="1938">
        <f t="shared" si="82"/>
        <v>0</v>
      </c>
      <c r="E162" s="1939">
        <f t="shared" si="82"/>
        <v>0</v>
      </c>
      <c r="F162" s="2445"/>
      <c r="G162" s="1939">
        <f t="shared" si="79"/>
        <v>0</v>
      </c>
      <c r="H162" s="1939">
        <f t="shared" si="71"/>
        <v>0</v>
      </c>
      <c r="I162" s="1939"/>
      <c r="J162" s="1939"/>
      <c r="K162" s="1939"/>
      <c r="L162" s="1939"/>
      <c r="M162" s="1939">
        <f t="shared" si="80"/>
        <v>0</v>
      </c>
      <c r="N162" s="1939">
        <f t="shared" si="81"/>
        <v>0</v>
      </c>
      <c r="O162" s="2445"/>
      <c r="P162" s="1940" t="str">
        <f t="shared" si="77"/>
        <v>2.6.4</v>
      </c>
      <c r="Q162" s="1940" t="str">
        <f t="shared" si="77"/>
        <v>LR2 2.2</v>
      </c>
      <c r="R162" s="1941">
        <f t="shared" si="77"/>
        <v>0</v>
      </c>
      <c r="S162" s="1942">
        <f t="shared" si="76"/>
        <v>0</v>
      </c>
      <c r="T162" s="1942">
        <f t="shared" si="76"/>
        <v>0</v>
      </c>
      <c r="U162" s="1942">
        <f t="shared" si="76"/>
        <v>0</v>
      </c>
      <c r="V162" s="1942">
        <f t="shared" si="54"/>
        <v>0</v>
      </c>
      <c r="W162" s="1942">
        <f t="shared" si="54"/>
        <v>0</v>
      </c>
      <c r="X162" s="1942">
        <f t="shared" si="54"/>
        <v>0</v>
      </c>
      <c r="Y162" s="1942">
        <f t="shared" si="54"/>
        <v>0</v>
      </c>
      <c r="Z162" s="1951">
        <f t="shared" si="54"/>
        <v>0</v>
      </c>
      <c r="AA162" s="1942">
        <f t="shared" si="54"/>
        <v>0</v>
      </c>
      <c r="AB162" s="1942">
        <f t="shared" si="54"/>
        <v>0</v>
      </c>
      <c r="AC162" s="2028">
        <f t="shared" si="75"/>
        <v>0</v>
      </c>
      <c r="AD162" s="1961">
        <f t="shared" si="75"/>
        <v>0</v>
      </c>
      <c r="AE162" s="1961">
        <f t="shared" si="75"/>
        <v>0</v>
      </c>
      <c r="AF162" s="2445"/>
      <c r="AG162" s="1940"/>
      <c r="AH162" s="1944"/>
      <c r="AI162" s="1941"/>
      <c r="AJ162" s="1947"/>
      <c r="AK162" s="1947"/>
      <c r="AL162" s="1947"/>
      <c r="AM162" s="1947"/>
      <c r="AN162" s="1947"/>
      <c r="AO162" s="1947"/>
      <c r="AP162" s="1947"/>
      <c r="AQ162" s="1947"/>
      <c r="AR162" s="1947"/>
      <c r="AS162" s="1947"/>
      <c r="AT162" s="2029"/>
      <c r="AU162" s="1963"/>
      <c r="AV162" s="1963"/>
      <c r="AW162" s="2445"/>
      <c r="AX162" s="1940"/>
      <c r="AY162" s="1944"/>
      <c r="AZ162" s="1941"/>
      <c r="BA162" s="1947"/>
      <c r="BB162" s="1947"/>
      <c r="BC162" s="1947"/>
      <c r="BD162" s="1947"/>
      <c r="BE162" s="1947"/>
      <c r="BF162" s="1947"/>
      <c r="BG162" s="1947"/>
      <c r="BH162" s="1947"/>
      <c r="BI162" s="1947"/>
      <c r="BJ162" s="1947"/>
      <c r="BK162" s="2029"/>
      <c r="BL162" s="1963"/>
      <c r="BM162" s="1963"/>
      <c r="BN162" s="2445"/>
      <c r="BO162" s="1940" t="s">
        <v>3607</v>
      </c>
      <c r="BP162" s="1944" t="s">
        <v>3723</v>
      </c>
      <c r="BQ162" s="1941"/>
      <c r="BR162" s="1947"/>
      <c r="BS162" s="1947"/>
      <c r="BT162" s="1947"/>
      <c r="BU162" s="1947"/>
      <c r="BV162" s="1947"/>
      <c r="BW162" s="1947"/>
      <c r="BX162" s="1947"/>
      <c r="BY162" s="1947"/>
      <c r="BZ162" s="1947"/>
      <c r="CA162" s="1947"/>
      <c r="CB162" s="2029"/>
      <c r="CC162" s="1963"/>
      <c r="CD162" s="1963"/>
      <c r="CE162" s="2296"/>
      <c r="CF162" s="2445"/>
      <c r="CG162" s="1940" t="s">
        <v>3607</v>
      </c>
      <c r="CH162" s="1944" t="s">
        <v>3601</v>
      </c>
      <c r="CI162" s="1941" t="s">
        <v>3608</v>
      </c>
      <c r="CJ162" s="2945">
        <v>0.15</v>
      </c>
      <c r="CK162" s="2945">
        <v>0.15</v>
      </c>
      <c r="CL162" s="2945">
        <v>0.15</v>
      </c>
      <c r="CM162" s="2945">
        <v>0.15</v>
      </c>
      <c r="CN162" s="2945">
        <v>0.15</v>
      </c>
      <c r="CO162" s="2945">
        <v>0.15</v>
      </c>
      <c r="CP162" s="2945">
        <v>0.15</v>
      </c>
      <c r="CQ162" s="2945">
        <v>0.15</v>
      </c>
      <c r="CR162" s="2945">
        <v>0.15</v>
      </c>
      <c r="CS162" s="2945">
        <v>0.15</v>
      </c>
      <c r="CT162" s="3000">
        <f t="shared" si="57"/>
        <v>0</v>
      </c>
      <c r="CU162" s="2954">
        <f t="shared" si="57"/>
        <v>0</v>
      </c>
      <c r="CV162" s="2954">
        <f t="shared" si="57"/>
        <v>0</v>
      </c>
      <c r="CW162" s="2445"/>
      <c r="CX162" s="1940" t="s">
        <v>3607</v>
      </c>
      <c r="CY162" s="1944" t="s">
        <v>3601</v>
      </c>
      <c r="CZ162" s="1941"/>
      <c r="DA162" s="2945">
        <f t="shared" si="66"/>
        <v>0</v>
      </c>
      <c r="DB162" s="2945"/>
      <c r="DC162" s="2945"/>
      <c r="DD162" s="2945"/>
      <c r="DE162" s="2945"/>
      <c r="DF162" s="2945"/>
      <c r="DG162" s="2945"/>
      <c r="DH162" s="2945"/>
      <c r="DI162" s="2945"/>
      <c r="DJ162" s="2945"/>
      <c r="DK162" s="3001"/>
      <c r="DL162" s="2955"/>
      <c r="DM162" s="2955"/>
    </row>
    <row r="163" spans="1:117" hidden="1">
      <c r="A163" s="2445"/>
      <c r="B163" s="1914" t="s">
        <v>3609</v>
      </c>
      <c r="C163" s="1941">
        <f t="shared" si="69"/>
        <v>0</v>
      </c>
      <c r="D163" s="1938">
        <f t="shared" si="82"/>
        <v>0</v>
      </c>
      <c r="E163" s="1939">
        <f t="shared" si="82"/>
        <v>0</v>
      </c>
      <c r="F163" s="2445"/>
      <c r="G163" s="1939">
        <f t="shared" si="79"/>
        <v>0</v>
      </c>
      <c r="H163" s="1939">
        <f t="shared" si="71"/>
        <v>0</v>
      </c>
      <c r="I163" s="1939"/>
      <c r="J163" s="1939"/>
      <c r="K163" s="1939"/>
      <c r="L163" s="1939"/>
      <c r="M163" s="1939">
        <f t="shared" si="80"/>
        <v>0</v>
      </c>
      <c r="N163" s="1939">
        <f t="shared" si="81"/>
        <v>0</v>
      </c>
      <c r="O163" s="2445"/>
      <c r="P163" s="1940" t="str">
        <f t="shared" si="77"/>
        <v>2.6.5</v>
      </c>
      <c r="Q163" s="1940" t="str">
        <f t="shared" si="77"/>
        <v>LR2 2.2</v>
      </c>
      <c r="R163" s="1941">
        <f t="shared" si="77"/>
        <v>0</v>
      </c>
      <c r="S163" s="1942">
        <f t="shared" si="76"/>
        <v>0</v>
      </c>
      <c r="T163" s="1942">
        <f t="shared" si="76"/>
        <v>0</v>
      </c>
      <c r="U163" s="1942">
        <f t="shared" si="76"/>
        <v>0</v>
      </c>
      <c r="V163" s="1942">
        <f t="shared" si="54"/>
        <v>0</v>
      </c>
      <c r="W163" s="1942">
        <f t="shared" si="54"/>
        <v>0</v>
      </c>
      <c r="X163" s="1942">
        <f t="shared" si="54"/>
        <v>0</v>
      </c>
      <c r="Y163" s="1942">
        <f t="shared" si="54"/>
        <v>0</v>
      </c>
      <c r="Z163" s="1951">
        <f t="shared" si="54"/>
        <v>0</v>
      </c>
      <c r="AA163" s="1942">
        <f t="shared" si="54"/>
        <v>0</v>
      </c>
      <c r="AB163" s="1942">
        <f t="shared" si="54"/>
        <v>0</v>
      </c>
      <c r="AC163" s="2028">
        <f t="shared" si="75"/>
        <v>0</v>
      </c>
      <c r="AD163" s="1961">
        <f t="shared" si="75"/>
        <v>0</v>
      </c>
      <c r="AE163" s="1961">
        <f t="shared" si="75"/>
        <v>0</v>
      </c>
      <c r="AF163" s="2445"/>
      <c r="AG163" s="1940"/>
      <c r="AH163" s="1944"/>
      <c r="AI163" s="1941"/>
      <c r="AJ163" s="1947"/>
      <c r="AK163" s="1947"/>
      <c r="AL163" s="1947"/>
      <c r="AM163" s="1947"/>
      <c r="AN163" s="1947"/>
      <c r="AO163" s="1947"/>
      <c r="AP163" s="1947"/>
      <c r="AQ163" s="1947"/>
      <c r="AR163" s="1947"/>
      <c r="AS163" s="1947"/>
      <c r="AT163" s="2029"/>
      <c r="AU163" s="1963"/>
      <c r="AV163" s="1963"/>
      <c r="AW163" s="2445"/>
      <c r="AX163" s="1940"/>
      <c r="AY163" s="1944"/>
      <c r="AZ163" s="1941"/>
      <c r="BA163" s="1947"/>
      <c r="BB163" s="1947"/>
      <c r="BC163" s="1947"/>
      <c r="BD163" s="1947"/>
      <c r="BE163" s="1947"/>
      <c r="BF163" s="1947"/>
      <c r="BG163" s="1947"/>
      <c r="BH163" s="1947"/>
      <c r="BI163" s="1947"/>
      <c r="BJ163" s="1947"/>
      <c r="BK163" s="2029"/>
      <c r="BL163" s="1963"/>
      <c r="BM163" s="1963"/>
      <c r="BN163" s="2445"/>
      <c r="BO163" s="1940" t="s">
        <v>3609</v>
      </c>
      <c r="BP163" s="1944" t="s">
        <v>3723</v>
      </c>
      <c r="BQ163" s="1941"/>
      <c r="BR163" s="1947"/>
      <c r="BS163" s="1947"/>
      <c r="BT163" s="1947"/>
      <c r="BU163" s="1947"/>
      <c r="BV163" s="1947"/>
      <c r="BW163" s="1947"/>
      <c r="BX163" s="1947"/>
      <c r="BY163" s="1947"/>
      <c r="BZ163" s="1947"/>
      <c r="CA163" s="1947"/>
      <c r="CB163" s="2029"/>
      <c r="CC163" s="1963"/>
      <c r="CD163" s="1963"/>
      <c r="CE163" s="2296"/>
      <c r="CF163" s="2445"/>
      <c r="CG163" s="1940" t="s">
        <v>3609</v>
      </c>
      <c r="CH163" s="1944" t="s">
        <v>3601</v>
      </c>
      <c r="CI163" s="1941" t="s">
        <v>3610</v>
      </c>
      <c r="CJ163" s="2945">
        <v>0.15</v>
      </c>
      <c r="CK163" s="2945">
        <v>0.15</v>
      </c>
      <c r="CL163" s="2945">
        <v>0.15</v>
      </c>
      <c r="CM163" s="2945">
        <v>0.15</v>
      </c>
      <c r="CN163" s="2945">
        <v>0.15</v>
      </c>
      <c r="CO163" s="2945">
        <v>0.15</v>
      </c>
      <c r="CP163" s="2945">
        <v>0.15</v>
      </c>
      <c r="CQ163" s="2945">
        <v>0.15</v>
      </c>
      <c r="CR163" s="2945">
        <v>0.15</v>
      </c>
      <c r="CS163" s="2945">
        <v>0.15</v>
      </c>
      <c r="CT163" s="3000">
        <f t="shared" si="57"/>
        <v>0</v>
      </c>
      <c r="CU163" s="2954">
        <f t="shared" si="57"/>
        <v>0</v>
      </c>
      <c r="CV163" s="2954">
        <f t="shared" si="57"/>
        <v>0</v>
      </c>
      <c r="CW163" s="2445"/>
      <c r="CX163" s="1940" t="s">
        <v>3609</v>
      </c>
      <c r="CY163" s="1944" t="s">
        <v>3601</v>
      </c>
      <c r="CZ163" s="1941"/>
      <c r="DA163" s="2945">
        <f t="shared" si="66"/>
        <v>0</v>
      </c>
      <c r="DB163" s="2945"/>
      <c r="DC163" s="2945"/>
      <c r="DD163" s="2945"/>
      <c r="DE163" s="2945"/>
      <c r="DF163" s="2945"/>
      <c r="DG163" s="2945"/>
      <c r="DH163" s="2945"/>
      <c r="DI163" s="2945"/>
      <c r="DJ163" s="2945"/>
      <c r="DK163" s="3001"/>
      <c r="DL163" s="2955"/>
      <c r="DM163" s="2955"/>
    </row>
    <row r="164" spans="1:117" hidden="1">
      <c r="A164" s="2445"/>
      <c r="B164" s="1914" t="s">
        <v>3611</v>
      </c>
      <c r="C164" s="1941">
        <f t="shared" si="69"/>
        <v>0</v>
      </c>
      <c r="D164" s="1938">
        <f>IF(I$158&gt;0,G164/I$158,0)</f>
        <v>0</v>
      </c>
      <c r="E164" s="1939">
        <f>IF(J$158&gt;0,H164/J$158,0)</f>
        <v>0</v>
      </c>
      <c r="F164" s="2445"/>
      <c r="G164" s="1939">
        <f t="shared" si="79"/>
        <v>0</v>
      </c>
      <c r="H164" s="1939">
        <f t="shared" si="71"/>
        <v>0</v>
      </c>
      <c r="I164" s="1939"/>
      <c r="J164" s="1939"/>
      <c r="K164" s="1939"/>
      <c r="L164" s="1939"/>
      <c r="M164" s="1939">
        <f t="shared" si="80"/>
        <v>0</v>
      </c>
      <c r="N164" s="1939">
        <f t="shared" si="81"/>
        <v>0</v>
      </c>
      <c r="O164" s="2445"/>
      <c r="P164" s="1940" t="str">
        <f t="shared" si="77"/>
        <v>2.6.6</v>
      </c>
      <c r="Q164" s="1940" t="str">
        <f t="shared" si="77"/>
        <v>LR2 2.2</v>
      </c>
      <c r="R164" s="1941">
        <f t="shared" si="77"/>
        <v>0</v>
      </c>
      <c r="S164" s="1942">
        <f t="shared" si="76"/>
        <v>0</v>
      </c>
      <c r="T164" s="1942">
        <f t="shared" si="76"/>
        <v>0</v>
      </c>
      <c r="U164" s="1942">
        <f t="shared" si="76"/>
        <v>0</v>
      </c>
      <c r="V164" s="1942">
        <f t="shared" si="54"/>
        <v>0</v>
      </c>
      <c r="W164" s="1942">
        <f t="shared" si="54"/>
        <v>0</v>
      </c>
      <c r="X164" s="1942">
        <f t="shared" si="54"/>
        <v>0</v>
      </c>
      <c r="Y164" s="1942">
        <f t="shared" si="54"/>
        <v>0</v>
      </c>
      <c r="Z164" s="1951">
        <f t="shared" si="54"/>
        <v>0</v>
      </c>
      <c r="AA164" s="1942">
        <f t="shared" si="54"/>
        <v>0</v>
      </c>
      <c r="AB164" s="1942">
        <f t="shared" si="54"/>
        <v>0</v>
      </c>
      <c r="AC164" s="2028">
        <f t="shared" si="75"/>
        <v>0</v>
      </c>
      <c r="AD164" s="1961">
        <f t="shared" si="75"/>
        <v>0</v>
      </c>
      <c r="AE164" s="1961">
        <f t="shared" si="75"/>
        <v>0</v>
      </c>
      <c r="AF164" s="2445"/>
      <c r="AG164" s="1940"/>
      <c r="AH164" s="1944"/>
      <c r="AI164" s="1941"/>
      <c r="AJ164" s="1947"/>
      <c r="AK164" s="1947"/>
      <c r="AL164" s="1947"/>
      <c r="AM164" s="1947"/>
      <c r="AN164" s="1947"/>
      <c r="AO164" s="1947"/>
      <c r="AP164" s="1947"/>
      <c r="AQ164" s="1947"/>
      <c r="AR164" s="1947"/>
      <c r="AS164" s="1947"/>
      <c r="AT164" s="2029"/>
      <c r="AU164" s="1963"/>
      <c r="AV164" s="1963"/>
      <c r="AW164" s="2445"/>
      <c r="AX164" s="1940"/>
      <c r="AY164" s="1944"/>
      <c r="AZ164" s="1941"/>
      <c r="BA164" s="1947"/>
      <c r="BB164" s="1947"/>
      <c r="BC164" s="1947"/>
      <c r="BD164" s="1947"/>
      <c r="BE164" s="1947"/>
      <c r="BF164" s="1947"/>
      <c r="BG164" s="1947"/>
      <c r="BH164" s="1947"/>
      <c r="BI164" s="1947"/>
      <c r="BJ164" s="1947"/>
      <c r="BK164" s="2029"/>
      <c r="BL164" s="1963"/>
      <c r="BM164" s="1963"/>
      <c r="BN164" s="2445"/>
      <c r="BO164" s="1940" t="s">
        <v>3611</v>
      </c>
      <c r="BP164" s="1944" t="s">
        <v>3723</v>
      </c>
      <c r="BQ164" s="1941"/>
      <c r="BR164" s="1947"/>
      <c r="BS164" s="1947"/>
      <c r="BT164" s="1947"/>
      <c r="BU164" s="1947"/>
      <c r="BV164" s="1947"/>
      <c r="BW164" s="1947"/>
      <c r="BX164" s="1947"/>
      <c r="BY164" s="1947"/>
      <c r="BZ164" s="1947"/>
      <c r="CA164" s="1947"/>
      <c r="CB164" s="2029"/>
      <c r="CC164" s="1963"/>
      <c r="CD164" s="1963"/>
      <c r="CE164" s="2296"/>
      <c r="CF164" s="2445"/>
      <c r="CG164" s="1940" t="s">
        <v>3611</v>
      </c>
      <c r="CH164" s="1944" t="s">
        <v>3601</v>
      </c>
      <c r="CI164" s="1941" t="s">
        <v>3612</v>
      </c>
      <c r="CJ164" s="2945">
        <v>0.15</v>
      </c>
      <c r="CK164" s="2945">
        <v>0.15</v>
      </c>
      <c r="CL164" s="2945">
        <v>0.15</v>
      </c>
      <c r="CM164" s="2945">
        <v>0.15</v>
      </c>
      <c r="CN164" s="2945">
        <v>0.15</v>
      </c>
      <c r="CO164" s="2945">
        <v>0.15</v>
      </c>
      <c r="CP164" s="2945">
        <v>0.15</v>
      </c>
      <c r="CQ164" s="2945">
        <v>0.15</v>
      </c>
      <c r="CR164" s="2945">
        <v>0.15</v>
      </c>
      <c r="CS164" s="2945">
        <v>0.15</v>
      </c>
      <c r="CT164" s="3000">
        <f t="shared" si="57"/>
        <v>0</v>
      </c>
      <c r="CU164" s="2954">
        <f t="shared" si="57"/>
        <v>0</v>
      </c>
      <c r="CV164" s="2954">
        <f t="shared" si="57"/>
        <v>0</v>
      </c>
      <c r="CW164" s="2445"/>
      <c r="CX164" s="1940" t="s">
        <v>3611</v>
      </c>
      <c r="CY164" s="1944" t="s">
        <v>3601</v>
      </c>
      <c r="CZ164" s="1941"/>
      <c r="DA164" s="2945">
        <f t="shared" si="66"/>
        <v>0</v>
      </c>
      <c r="DB164" s="2945"/>
      <c r="DC164" s="2945"/>
      <c r="DD164" s="2945"/>
      <c r="DE164" s="2945"/>
      <c r="DF164" s="2945"/>
      <c r="DG164" s="2945"/>
      <c r="DH164" s="2945"/>
      <c r="DI164" s="2945"/>
      <c r="DJ164" s="2945"/>
      <c r="DK164" s="3001"/>
      <c r="DL164" s="2955"/>
      <c r="DM164" s="2955"/>
    </row>
    <row r="165" spans="1:117" hidden="1">
      <c r="A165" s="2445"/>
      <c r="B165" s="1914">
        <v>2.7</v>
      </c>
      <c r="C165" s="1941">
        <f t="shared" si="69"/>
        <v>0</v>
      </c>
      <c r="D165" s="1938">
        <f>IF(I$151=0,0,G165/I$151)</f>
        <v>0</v>
      </c>
      <c r="E165" s="1939">
        <f>IF(J$151=0,0,H165/J$151)</f>
        <v>0</v>
      </c>
      <c r="F165" s="2445"/>
      <c r="G165" s="1939">
        <f t="shared" si="79"/>
        <v>0</v>
      </c>
      <c r="H165" s="1939">
        <f>L165*N165</f>
        <v>0</v>
      </c>
      <c r="I165" s="1939"/>
      <c r="J165" s="1939"/>
      <c r="K165" s="1939"/>
      <c r="L165" s="1939"/>
      <c r="M165" s="1939">
        <f t="shared" si="80"/>
        <v>0</v>
      </c>
      <c r="N165" s="1939">
        <f t="shared" si="81"/>
        <v>0</v>
      </c>
      <c r="O165" s="2445"/>
      <c r="P165" s="1940">
        <f t="shared" si="77"/>
        <v>2.7</v>
      </c>
      <c r="Q165" s="1940" t="str">
        <f t="shared" si="77"/>
        <v>LR2 2</v>
      </c>
      <c r="R165" s="1941">
        <f t="shared" si="77"/>
        <v>0</v>
      </c>
      <c r="S165" s="1942">
        <f t="shared" si="76"/>
        <v>0</v>
      </c>
      <c r="T165" s="1942">
        <f t="shared" si="76"/>
        <v>0</v>
      </c>
      <c r="U165" s="1942">
        <f t="shared" si="76"/>
        <v>0</v>
      </c>
      <c r="V165" s="1942">
        <f t="shared" si="54"/>
        <v>0</v>
      </c>
      <c r="W165" s="1942">
        <f t="shared" si="54"/>
        <v>0</v>
      </c>
      <c r="X165" s="1942">
        <f t="shared" ref="X165:AB194" si="83">IF($P$3=1,BF165,IF($P$3=2,BW165,IF($P$3=3,CO165,IF($P$3=4,DF165,AO165))))</f>
        <v>0</v>
      </c>
      <c r="Y165" s="1942">
        <f t="shared" si="83"/>
        <v>0</v>
      </c>
      <c r="Z165" s="1951">
        <f t="shared" si="83"/>
        <v>0</v>
      </c>
      <c r="AA165" s="1942">
        <f t="shared" si="83"/>
        <v>0</v>
      </c>
      <c r="AB165" s="1942">
        <f t="shared" si="83"/>
        <v>0</v>
      </c>
      <c r="AC165" s="2028">
        <f t="shared" si="75"/>
        <v>0</v>
      </c>
      <c r="AD165" s="1961">
        <f t="shared" si="75"/>
        <v>0</v>
      </c>
      <c r="AE165" s="1961">
        <f t="shared" si="75"/>
        <v>0</v>
      </c>
      <c r="AF165" s="2445"/>
      <c r="AG165" s="1940"/>
      <c r="AH165" s="1944"/>
      <c r="AI165" s="1941"/>
      <c r="AJ165" s="1947"/>
      <c r="AK165" s="1947"/>
      <c r="AL165" s="1947"/>
      <c r="AM165" s="1947"/>
      <c r="AN165" s="1947"/>
      <c r="AO165" s="1947"/>
      <c r="AP165" s="1947"/>
      <c r="AQ165" s="1947"/>
      <c r="AR165" s="1947"/>
      <c r="AS165" s="1947"/>
      <c r="AT165" s="2029"/>
      <c r="AU165" s="1963"/>
      <c r="AV165" s="1963"/>
      <c r="AW165" s="2445"/>
      <c r="AX165" s="1940"/>
      <c r="AY165" s="1944"/>
      <c r="AZ165" s="1941"/>
      <c r="BA165" s="1947"/>
      <c r="BB165" s="1947"/>
      <c r="BC165" s="1947"/>
      <c r="BD165" s="1947"/>
      <c r="BE165" s="1947"/>
      <c r="BF165" s="1947"/>
      <c r="BG165" s="1947"/>
      <c r="BH165" s="1947"/>
      <c r="BI165" s="1947"/>
      <c r="BJ165" s="1947"/>
      <c r="BK165" s="2029"/>
      <c r="BL165" s="1963"/>
      <c r="BM165" s="1963"/>
      <c r="BN165" s="2445"/>
      <c r="BO165" s="1940">
        <v>2.7</v>
      </c>
      <c r="BP165" s="1944" t="s">
        <v>139</v>
      </c>
      <c r="BQ165" s="1941"/>
      <c r="BR165" s="1947"/>
      <c r="BS165" s="1947"/>
      <c r="BT165" s="1947"/>
      <c r="BU165" s="1947"/>
      <c r="BV165" s="1947"/>
      <c r="BW165" s="1947"/>
      <c r="BX165" s="1947"/>
      <c r="BY165" s="1947"/>
      <c r="BZ165" s="1947"/>
      <c r="CA165" s="1947"/>
      <c r="CB165" s="2029"/>
      <c r="CC165" s="1963"/>
      <c r="CD165" s="1963"/>
      <c r="CE165" s="2296"/>
      <c r="CF165" s="2445"/>
      <c r="CG165" s="1940">
        <v>2.7</v>
      </c>
      <c r="CH165" s="1944" t="s">
        <v>3613</v>
      </c>
      <c r="CI165" s="1941" t="s">
        <v>3614</v>
      </c>
      <c r="CJ165" s="2945">
        <v>0.2</v>
      </c>
      <c r="CK165" s="2945">
        <v>0.2</v>
      </c>
      <c r="CL165" s="2945">
        <v>0.2</v>
      </c>
      <c r="CM165" s="2945">
        <v>0.2</v>
      </c>
      <c r="CN165" s="2945">
        <v>0.2</v>
      </c>
      <c r="CO165" s="2945">
        <v>0.2</v>
      </c>
      <c r="CP165" s="2945">
        <v>0.2</v>
      </c>
      <c r="CQ165" s="2945">
        <v>0.2</v>
      </c>
      <c r="CR165" s="2945">
        <v>0.2</v>
      </c>
      <c r="CS165" s="2945">
        <v>0.2</v>
      </c>
      <c r="CT165" s="3000">
        <f t="shared" si="57"/>
        <v>0</v>
      </c>
      <c r="CU165" s="2954">
        <f t="shared" si="57"/>
        <v>0</v>
      </c>
      <c r="CV165" s="2954">
        <f t="shared" si="57"/>
        <v>0</v>
      </c>
      <c r="CW165" s="2445"/>
      <c r="CX165" s="1940">
        <v>2.7</v>
      </c>
      <c r="CY165" s="1944" t="s">
        <v>3613</v>
      </c>
      <c r="CZ165" s="1941"/>
      <c r="DA165" s="2945">
        <f t="shared" si="66"/>
        <v>0</v>
      </c>
      <c r="DB165" s="2945"/>
      <c r="DC165" s="2945"/>
      <c r="DD165" s="2945"/>
      <c r="DE165" s="2945"/>
      <c r="DF165" s="2945"/>
      <c r="DG165" s="2945"/>
      <c r="DH165" s="2945"/>
      <c r="DI165" s="2945"/>
      <c r="DJ165" s="2945"/>
      <c r="DK165" s="3001"/>
      <c r="DL165" s="2955"/>
      <c r="DM165" s="2955"/>
    </row>
    <row r="166" spans="1:117" s="1328" customFormat="1">
      <c r="A166"/>
      <c r="B166" s="1914">
        <f t="shared" si="73"/>
        <v>3</v>
      </c>
      <c r="C166" s="1957" t="str">
        <f t="shared" si="69"/>
        <v>汚染物質含有材料の使用回避</v>
      </c>
      <c r="D166" s="1925">
        <f>IF(I$145=0,0,G166/I$145)</f>
        <v>0.2</v>
      </c>
      <c r="E166" s="1926">
        <f>IF(J$145=0,0,H166/J$145)</f>
        <v>0</v>
      </c>
      <c r="F166"/>
      <c r="G166" s="1926">
        <f t="shared" si="70"/>
        <v>0.2</v>
      </c>
      <c r="H166" s="1926">
        <f t="shared" si="71"/>
        <v>0</v>
      </c>
      <c r="I166" s="1926">
        <f>G167+G168</f>
        <v>1</v>
      </c>
      <c r="J166" s="1926">
        <f>H167+H168</f>
        <v>0</v>
      </c>
      <c r="K166" s="1926">
        <f>IF(スコア!Q166=0,0,1)</f>
        <v>1</v>
      </c>
      <c r="L166" s="1926">
        <f>IF(スコア!T166=0,0,1)</f>
        <v>0</v>
      </c>
      <c r="M166" s="1926">
        <f t="shared" si="72"/>
        <v>0.2</v>
      </c>
      <c r="N166" s="1926">
        <f t="shared" si="78"/>
        <v>0</v>
      </c>
      <c r="O166"/>
      <c r="P166" s="1928">
        <f t="shared" si="77"/>
        <v>3</v>
      </c>
      <c r="Q166" s="1928" t="str">
        <f t="shared" si="77"/>
        <v>LR2</v>
      </c>
      <c r="R166" s="1929" t="str">
        <f t="shared" si="77"/>
        <v>汚染物質含有材料の使用回避</v>
      </c>
      <c r="S166" s="1930">
        <f t="shared" si="76"/>
        <v>0.2</v>
      </c>
      <c r="T166" s="1930">
        <f t="shared" si="76"/>
        <v>0.2</v>
      </c>
      <c r="U166" s="1930">
        <f t="shared" si="76"/>
        <v>0.2</v>
      </c>
      <c r="V166" s="1930">
        <f t="shared" si="76"/>
        <v>0.2</v>
      </c>
      <c r="W166" s="1930">
        <f t="shared" si="76"/>
        <v>0.2</v>
      </c>
      <c r="X166" s="1930">
        <f t="shared" si="83"/>
        <v>0.2</v>
      </c>
      <c r="Y166" s="1930">
        <f t="shared" si="83"/>
        <v>0.2</v>
      </c>
      <c r="Z166" s="1994">
        <f t="shared" si="83"/>
        <v>0.2</v>
      </c>
      <c r="AA166" s="1930">
        <f t="shared" si="83"/>
        <v>0.2</v>
      </c>
      <c r="AB166" s="1930">
        <f t="shared" si="83"/>
        <v>0.2</v>
      </c>
      <c r="AC166" s="2024">
        <f t="shared" si="75"/>
        <v>0</v>
      </c>
      <c r="AD166" s="2025">
        <f t="shared" si="75"/>
        <v>0</v>
      </c>
      <c r="AE166" s="2025">
        <f t="shared" si="75"/>
        <v>0</v>
      </c>
      <c r="AF166"/>
      <c r="AG166" s="1928">
        <v>3</v>
      </c>
      <c r="AH166" s="1933" t="s">
        <v>1304</v>
      </c>
      <c r="AI166" s="1957" t="s">
        <v>1060</v>
      </c>
      <c r="AJ166" s="1934">
        <v>0.2</v>
      </c>
      <c r="AK166" s="1934">
        <v>0.2</v>
      </c>
      <c r="AL166" s="1934">
        <v>0.2</v>
      </c>
      <c r="AM166" s="1934">
        <v>0.2</v>
      </c>
      <c r="AN166" s="1934">
        <v>0.2</v>
      </c>
      <c r="AO166" s="1934">
        <v>0.2</v>
      </c>
      <c r="AP166" s="1934">
        <v>0.2</v>
      </c>
      <c r="AQ166" s="1934">
        <v>0.2</v>
      </c>
      <c r="AR166" s="1934">
        <v>0.2</v>
      </c>
      <c r="AS166" s="1934">
        <v>0.2</v>
      </c>
      <c r="AT166" s="2026">
        <v>0</v>
      </c>
      <c r="AU166" s="2027">
        <v>0</v>
      </c>
      <c r="AV166" s="2027">
        <v>0</v>
      </c>
      <c r="AW166"/>
      <c r="AX166" s="1928">
        <v>3</v>
      </c>
      <c r="AY166" s="1933" t="s">
        <v>1304</v>
      </c>
      <c r="AZ166" s="1957" t="s">
        <v>1060</v>
      </c>
      <c r="BA166" s="1934">
        <v>0.2</v>
      </c>
      <c r="BB166" s="1934">
        <v>0.2</v>
      </c>
      <c r="BC166" s="1934">
        <v>0.2</v>
      </c>
      <c r="BD166" s="1934">
        <v>0.2</v>
      </c>
      <c r="BE166" s="1934">
        <v>0.2</v>
      </c>
      <c r="BF166" s="1934">
        <v>0.2</v>
      </c>
      <c r="BG166" s="1934">
        <v>0.2</v>
      </c>
      <c r="BH166" s="1934">
        <v>0.2</v>
      </c>
      <c r="BI166" s="1934">
        <v>0.2</v>
      </c>
      <c r="BJ166" s="1934">
        <v>0.2</v>
      </c>
      <c r="BK166" s="2026"/>
      <c r="BL166" s="2027"/>
      <c r="BM166" s="2027"/>
      <c r="BN166"/>
      <c r="BO166" s="1928">
        <v>3</v>
      </c>
      <c r="BP166" s="1933" t="s">
        <v>1304</v>
      </c>
      <c r="BQ166" s="1957" t="s">
        <v>3769</v>
      </c>
      <c r="BR166" s="1934">
        <v>0.2</v>
      </c>
      <c r="BS166" s="1934">
        <v>0.2</v>
      </c>
      <c r="BT166" s="1934">
        <v>0.2</v>
      </c>
      <c r="BU166" s="1934">
        <v>0.2</v>
      </c>
      <c r="BV166" s="1934">
        <v>0.2</v>
      </c>
      <c r="BW166" s="1934">
        <v>0.2</v>
      </c>
      <c r="BX166" s="1934">
        <v>0.2</v>
      </c>
      <c r="BY166" s="1934">
        <v>0.2</v>
      </c>
      <c r="BZ166" s="1934">
        <v>0.2</v>
      </c>
      <c r="CA166" s="1934">
        <v>0.2</v>
      </c>
      <c r="CB166" s="2026"/>
      <c r="CC166" s="2027"/>
      <c r="CD166" s="2027"/>
      <c r="CE166" s="2306"/>
      <c r="CF166"/>
      <c r="CG166" s="1928">
        <v>3</v>
      </c>
      <c r="CH166" s="1933" t="s">
        <v>1304</v>
      </c>
      <c r="CI166" s="1957" t="s">
        <v>1060</v>
      </c>
      <c r="CJ166" s="2940">
        <v>0.05</v>
      </c>
      <c r="CK166" s="2940">
        <v>0.05</v>
      </c>
      <c r="CL166" s="2940">
        <v>0.05</v>
      </c>
      <c r="CM166" s="2940">
        <v>0.05</v>
      </c>
      <c r="CN166" s="2940">
        <v>0.05</v>
      </c>
      <c r="CO166" s="2940">
        <v>0.05</v>
      </c>
      <c r="CP166" s="2940">
        <v>0.05</v>
      </c>
      <c r="CQ166" s="2940">
        <v>0.05</v>
      </c>
      <c r="CR166" s="2940">
        <v>0.05</v>
      </c>
      <c r="CS166" s="2940">
        <v>0.05</v>
      </c>
      <c r="CT166" s="2996">
        <f t="shared" si="57"/>
        <v>0</v>
      </c>
      <c r="CU166" s="2997">
        <f t="shared" si="57"/>
        <v>0</v>
      </c>
      <c r="CV166" s="2997">
        <f t="shared" si="57"/>
        <v>0</v>
      </c>
      <c r="CW166" s="2445"/>
      <c r="CX166" s="1928">
        <v>3</v>
      </c>
      <c r="CY166" s="1933" t="s">
        <v>1304</v>
      </c>
      <c r="CZ166" s="1957" t="s">
        <v>1060</v>
      </c>
      <c r="DA166" s="2974">
        <f t="shared" si="66"/>
        <v>0.2</v>
      </c>
      <c r="DB166" s="2940"/>
      <c r="DC166" s="2940"/>
      <c r="DD166" s="2940"/>
      <c r="DE166" s="2940"/>
      <c r="DF166" s="2940"/>
      <c r="DG166" s="2940"/>
      <c r="DH166" s="2940"/>
      <c r="DI166" s="2940"/>
      <c r="DJ166" s="2940"/>
      <c r="DK166" s="2998"/>
      <c r="DL166" s="2999"/>
      <c r="DM166" s="2999"/>
    </row>
    <row r="167" spans="1:117">
      <c r="B167" s="1914" t="str">
        <f t="shared" si="73"/>
        <v>3.1</v>
      </c>
      <c r="C167" s="1941" t="str">
        <f t="shared" si="69"/>
        <v>有害物質を含まない材料の使用</v>
      </c>
      <c r="D167" s="1938">
        <f>IF(I$166=0,0,G167/I$166)</f>
        <v>0.3</v>
      </c>
      <c r="E167" s="1939">
        <f>IF(J$166=0,0,H167/J$166)</f>
        <v>0</v>
      </c>
      <c r="G167" s="1939">
        <f t="shared" si="70"/>
        <v>0.3</v>
      </c>
      <c r="H167" s="1939">
        <f t="shared" si="71"/>
        <v>0</v>
      </c>
      <c r="I167" s="1939"/>
      <c r="J167" s="1939"/>
      <c r="K167" s="1939">
        <f>IF(スコア!Q167=0,0,1)</f>
        <v>1</v>
      </c>
      <c r="L167" s="1939">
        <f>IF(スコア!T167=0,0,1)</f>
        <v>0</v>
      </c>
      <c r="M167" s="1939">
        <f t="shared" si="72"/>
        <v>0.3</v>
      </c>
      <c r="N167" s="1939">
        <f t="shared" si="78"/>
        <v>0</v>
      </c>
      <c r="P167" s="1940" t="str">
        <f t="shared" si="77"/>
        <v>3.1</v>
      </c>
      <c r="Q167" s="1940" t="str">
        <f t="shared" si="77"/>
        <v>LR2 3</v>
      </c>
      <c r="R167" s="1941" t="str">
        <f t="shared" si="77"/>
        <v>有害物質を含まない材料の使用</v>
      </c>
      <c r="S167" s="1942">
        <f t="shared" si="76"/>
        <v>0.3</v>
      </c>
      <c r="T167" s="1942">
        <f t="shared" si="76"/>
        <v>0.3</v>
      </c>
      <c r="U167" s="1942">
        <f t="shared" si="76"/>
        <v>0.3</v>
      </c>
      <c r="V167" s="1942">
        <f t="shared" si="76"/>
        <v>0.3</v>
      </c>
      <c r="W167" s="1942">
        <f t="shared" si="76"/>
        <v>0.3</v>
      </c>
      <c r="X167" s="1942">
        <f t="shared" si="83"/>
        <v>0.3</v>
      </c>
      <c r="Y167" s="1942">
        <f t="shared" si="83"/>
        <v>0.3</v>
      </c>
      <c r="Z167" s="1951">
        <f t="shared" si="83"/>
        <v>0.3</v>
      </c>
      <c r="AA167" s="1942">
        <f t="shared" si="83"/>
        <v>0.3</v>
      </c>
      <c r="AB167" s="1942">
        <f t="shared" si="83"/>
        <v>0.3</v>
      </c>
      <c r="AC167" s="2028">
        <f t="shared" si="75"/>
        <v>0</v>
      </c>
      <c r="AD167" s="1961">
        <f t="shared" si="75"/>
        <v>0</v>
      </c>
      <c r="AE167" s="1961">
        <f t="shared" si="75"/>
        <v>0</v>
      </c>
      <c r="AG167" s="1940" t="s">
        <v>1175</v>
      </c>
      <c r="AH167" s="1944" t="s">
        <v>140</v>
      </c>
      <c r="AI167" s="1941" t="s">
        <v>1061</v>
      </c>
      <c r="AJ167" s="1947">
        <v>0.3</v>
      </c>
      <c r="AK167" s="1947">
        <v>0.3</v>
      </c>
      <c r="AL167" s="1947">
        <v>0.3</v>
      </c>
      <c r="AM167" s="1947">
        <v>0.3</v>
      </c>
      <c r="AN167" s="1947">
        <v>0.3</v>
      </c>
      <c r="AO167" s="1947">
        <v>0.3</v>
      </c>
      <c r="AP167" s="1947">
        <v>0.3</v>
      </c>
      <c r="AQ167" s="1947">
        <v>0.3</v>
      </c>
      <c r="AR167" s="1947">
        <v>0.3</v>
      </c>
      <c r="AS167" s="1947">
        <v>0.3</v>
      </c>
      <c r="AT167" s="2029">
        <v>0</v>
      </c>
      <c r="AU167" s="1963">
        <v>0</v>
      </c>
      <c r="AV167" s="1963">
        <v>0</v>
      </c>
      <c r="AX167" s="1940" t="s">
        <v>1176</v>
      </c>
      <c r="AY167" s="1944" t="s">
        <v>140</v>
      </c>
      <c r="AZ167" s="1941" t="s">
        <v>1061</v>
      </c>
      <c r="BA167" s="1947">
        <v>0.3</v>
      </c>
      <c r="BB167" s="1947">
        <v>0.3</v>
      </c>
      <c r="BC167" s="1947">
        <v>0.3</v>
      </c>
      <c r="BD167" s="1947">
        <v>0.3</v>
      </c>
      <c r="BE167" s="1947">
        <v>0.3</v>
      </c>
      <c r="BF167" s="1947">
        <v>0.3</v>
      </c>
      <c r="BG167" s="1947">
        <v>0.3</v>
      </c>
      <c r="BH167" s="1947">
        <v>0.3</v>
      </c>
      <c r="BI167" s="1947">
        <v>0.3</v>
      </c>
      <c r="BJ167" s="1947">
        <v>0.3</v>
      </c>
      <c r="BK167" s="2029"/>
      <c r="BL167" s="1963"/>
      <c r="BM167" s="1963"/>
      <c r="BO167" s="1940" t="s">
        <v>3708</v>
      </c>
      <c r="BP167" s="1944" t="s">
        <v>140</v>
      </c>
      <c r="BQ167" s="1941" t="s">
        <v>3770</v>
      </c>
      <c r="BR167" s="1947">
        <v>0.3</v>
      </c>
      <c r="BS167" s="1947">
        <v>0.3</v>
      </c>
      <c r="BT167" s="1947">
        <v>0.3</v>
      </c>
      <c r="BU167" s="1947">
        <v>0.3</v>
      </c>
      <c r="BV167" s="1947">
        <v>0.3</v>
      </c>
      <c r="BW167" s="1947">
        <v>0.3</v>
      </c>
      <c r="BX167" s="1947">
        <v>0.3</v>
      </c>
      <c r="BY167" s="1947">
        <v>0.3</v>
      </c>
      <c r="BZ167" s="1947">
        <v>0.3</v>
      </c>
      <c r="CA167" s="1947">
        <v>0.3</v>
      </c>
      <c r="CB167" s="2029"/>
      <c r="CC167" s="1963"/>
      <c r="CD167" s="1963"/>
      <c r="CE167" s="2296"/>
      <c r="CG167" s="1940" t="s">
        <v>3615</v>
      </c>
      <c r="CH167" s="1944" t="s">
        <v>140</v>
      </c>
      <c r="CI167" s="1941" t="s">
        <v>1061</v>
      </c>
      <c r="CJ167" s="2943">
        <f t="shared" si="68"/>
        <v>0.3</v>
      </c>
      <c r="CK167" s="2943">
        <f t="shared" si="68"/>
        <v>0.3</v>
      </c>
      <c r="CL167" s="2943">
        <f t="shared" si="68"/>
        <v>0.3</v>
      </c>
      <c r="CM167" s="2943">
        <f t="shared" si="68"/>
        <v>0.3</v>
      </c>
      <c r="CN167" s="2943">
        <f t="shared" si="68"/>
        <v>0.3</v>
      </c>
      <c r="CO167" s="2943">
        <f t="shared" si="65"/>
        <v>0.3</v>
      </c>
      <c r="CP167" s="2943">
        <f t="shared" si="65"/>
        <v>0.3</v>
      </c>
      <c r="CQ167" s="2943">
        <f t="shared" si="65"/>
        <v>0.3</v>
      </c>
      <c r="CR167" s="2943">
        <f t="shared" si="65"/>
        <v>0.3</v>
      </c>
      <c r="CS167" s="2943">
        <f t="shared" si="65"/>
        <v>0.3</v>
      </c>
      <c r="CT167" s="3000">
        <f t="shared" si="57"/>
        <v>0</v>
      </c>
      <c r="CU167" s="2954">
        <f t="shared" si="57"/>
        <v>0</v>
      </c>
      <c r="CV167" s="2954">
        <f t="shared" si="57"/>
        <v>0</v>
      </c>
      <c r="CW167" s="2445"/>
      <c r="CX167" s="1940" t="s">
        <v>3615</v>
      </c>
      <c r="CY167" s="1944" t="s">
        <v>140</v>
      </c>
      <c r="CZ167" s="1941" t="s">
        <v>1061</v>
      </c>
      <c r="DA167" s="2944">
        <v>0.6</v>
      </c>
      <c r="DB167" s="2945"/>
      <c r="DC167" s="2945"/>
      <c r="DD167" s="2945"/>
      <c r="DE167" s="2945"/>
      <c r="DF167" s="2945"/>
      <c r="DG167" s="2945"/>
      <c r="DH167" s="2945"/>
      <c r="DI167" s="2945"/>
      <c r="DJ167" s="2945"/>
      <c r="DK167" s="3001"/>
      <c r="DL167" s="2955"/>
      <c r="DM167" s="2955"/>
    </row>
    <row r="168" spans="1:117">
      <c r="B168" s="1914" t="str">
        <f t="shared" si="73"/>
        <v>3.2</v>
      </c>
      <c r="C168" s="1941" t="str">
        <f t="shared" si="69"/>
        <v>フロン・ハロンの回避</v>
      </c>
      <c r="D168" s="1938">
        <f>IF(I$166=0,0,G168/I$166)</f>
        <v>0.7</v>
      </c>
      <c r="E168" s="1939">
        <f>IF(J$166=0,0,H168/J$166)</f>
        <v>0</v>
      </c>
      <c r="G168" s="1939">
        <f t="shared" si="70"/>
        <v>0.7</v>
      </c>
      <c r="H168" s="1939">
        <f t="shared" si="71"/>
        <v>0</v>
      </c>
      <c r="I168" s="1939">
        <f>SUM(G169:G171)</f>
        <v>1</v>
      </c>
      <c r="J168" s="1939">
        <f>SUM(H169:H171)</f>
        <v>0</v>
      </c>
      <c r="K168" s="1939">
        <f>IF(スコア!Q168=0,0,1)</f>
        <v>1</v>
      </c>
      <c r="L168" s="1939">
        <f>IF(スコア!T168=0,0,1)</f>
        <v>0</v>
      </c>
      <c r="M168" s="1939">
        <f t="shared" si="72"/>
        <v>0.7</v>
      </c>
      <c r="N168" s="1939">
        <f t="shared" si="78"/>
        <v>0</v>
      </c>
      <c r="P168" s="1940" t="str">
        <f t="shared" si="77"/>
        <v>3.2</v>
      </c>
      <c r="Q168" s="1940" t="str">
        <f t="shared" si="77"/>
        <v>LR2 3</v>
      </c>
      <c r="R168" s="1941" t="str">
        <f t="shared" si="77"/>
        <v>フロン・ハロンの回避</v>
      </c>
      <c r="S168" s="1942">
        <f t="shared" si="76"/>
        <v>0.7</v>
      </c>
      <c r="T168" s="1942">
        <f t="shared" si="76"/>
        <v>0.7</v>
      </c>
      <c r="U168" s="1942">
        <f t="shared" si="76"/>
        <v>0.7</v>
      </c>
      <c r="V168" s="1942">
        <f t="shared" si="76"/>
        <v>0.7</v>
      </c>
      <c r="W168" s="1942">
        <f t="shared" si="76"/>
        <v>0.7</v>
      </c>
      <c r="X168" s="1942">
        <f t="shared" si="83"/>
        <v>0.7</v>
      </c>
      <c r="Y168" s="1942">
        <f t="shared" si="83"/>
        <v>0.7</v>
      </c>
      <c r="Z168" s="1951">
        <f t="shared" si="83"/>
        <v>0.7</v>
      </c>
      <c r="AA168" s="1942">
        <f t="shared" si="83"/>
        <v>0.7</v>
      </c>
      <c r="AB168" s="1942">
        <f t="shared" si="83"/>
        <v>0.7</v>
      </c>
      <c r="AC168" s="2028">
        <f t="shared" si="75"/>
        <v>0</v>
      </c>
      <c r="AD168" s="1961">
        <f t="shared" si="75"/>
        <v>0</v>
      </c>
      <c r="AE168" s="1961">
        <f t="shared" si="75"/>
        <v>0</v>
      </c>
      <c r="AG168" s="1940" t="s">
        <v>1177</v>
      </c>
      <c r="AH168" s="1944" t="s">
        <v>140</v>
      </c>
      <c r="AI168" s="1941" t="s">
        <v>141</v>
      </c>
      <c r="AJ168" s="1947">
        <v>0.7</v>
      </c>
      <c r="AK168" s="1947">
        <v>0.7</v>
      </c>
      <c r="AL168" s="1947">
        <v>0.7</v>
      </c>
      <c r="AM168" s="1947">
        <v>0.7</v>
      </c>
      <c r="AN168" s="1947">
        <v>0.7</v>
      </c>
      <c r="AO168" s="1947">
        <v>0.7</v>
      </c>
      <c r="AP168" s="1947">
        <v>0.7</v>
      </c>
      <c r="AQ168" s="1947">
        <v>0.7</v>
      </c>
      <c r="AR168" s="1947">
        <v>0.7</v>
      </c>
      <c r="AS168" s="1947">
        <v>0.7</v>
      </c>
      <c r="AT168" s="2029">
        <v>0</v>
      </c>
      <c r="AU168" s="1963">
        <v>0</v>
      </c>
      <c r="AV168" s="1963">
        <v>0</v>
      </c>
      <c r="AX168" s="1940" t="s">
        <v>1177</v>
      </c>
      <c r="AY168" s="1944" t="s">
        <v>140</v>
      </c>
      <c r="AZ168" s="1941" t="s">
        <v>141</v>
      </c>
      <c r="BA168" s="1947">
        <v>0.7</v>
      </c>
      <c r="BB168" s="1947">
        <v>0.7</v>
      </c>
      <c r="BC168" s="1947">
        <v>0.7</v>
      </c>
      <c r="BD168" s="1947">
        <v>0.7</v>
      </c>
      <c r="BE168" s="1947">
        <v>0.7</v>
      </c>
      <c r="BF168" s="1947">
        <v>0.7</v>
      </c>
      <c r="BG168" s="1947">
        <v>0.7</v>
      </c>
      <c r="BH168" s="1947">
        <v>0.7</v>
      </c>
      <c r="BI168" s="1947">
        <v>0.7</v>
      </c>
      <c r="BJ168" s="1947">
        <v>0.7</v>
      </c>
      <c r="BK168" s="2029"/>
      <c r="BL168" s="1963"/>
      <c r="BM168" s="1963"/>
      <c r="BO168" s="1940" t="s">
        <v>3709</v>
      </c>
      <c r="BP168" s="1944" t="s">
        <v>140</v>
      </c>
      <c r="BQ168" s="1941" t="s">
        <v>141</v>
      </c>
      <c r="BR168" s="1947">
        <v>0.7</v>
      </c>
      <c r="BS168" s="1947">
        <v>0.7</v>
      </c>
      <c r="BT168" s="1947">
        <v>0.7</v>
      </c>
      <c r="BU168" s="1947">
        <v>0.7</v>
      </c>
      <c r="BV168" s="1947">
        <v>0.7</v>
      </c>
      <c r="BW168" s="1947">
        <v>0.7</v>
      </c>
      <c r="BX168" s="1947">
        <v>0.7</v>
      </c>
      <c r="BY168" s="1947">
        <v>0.7</v>
      </c>
      <c r="BZ168" s="1947">
        <v>0.7</v>
      </c>
      <c r="CA168" s="1947">
        <v>0.7</v>
      </c>
      <c r="CB168" s="2029"/>
      <c r="CC168" s="1963"/>
      <c r="CD168" s="1963"/>
      <c r="CE168" s="2296"/>
      <c r="CG168" s="1940" t="s">
        <v>3616</v>
      </c>
      <c r="CH168" s="1944" t="s">
        <v>140</v>
      </c>
      <c r="CI168" s="1941" t="s">
        <v>141</v>
      </c>
      <c r="CJ168" s="2943">
        <f t="shared" si="68"/>
        <v>0.7</v>
      </c>
      <c r="CK168" s="2943">
        <f t="shared" si="68"/>
        <v>0.7</v>
      </c>
      <c r="CL168" s="2943">
        <f t="shared" si="68"/>
        <v>0.7</v>
      </c>
      <c r="CM168" s="2943">
        <f t="shared" si="68"/>
        <v>0.7</v>
      </c>
      <c r="CN168" s="2943">
        <f t="shared" si="68"/>
        <v>0.7</v>
      </c>
      <c r="CO168" s="2943">
        <f t="shared" si="65"/>
        <v>0.7</v>
      </c>
      <c r="CP168" s="2943">
        <f t="shared" si="65"/>
        <v>0.7</v>
      </c>
      <c r="CQ168" s="2943">
        <f t="shared" si="65"/>
        <v>0.7</v>
      </c>
      <c r="CR168" s="2943">
        <f t="shared" si="65"/>
        <v>0.7</v>
      </c>
      <c r="CS168" s="2943">
        <f t="shared" si="65"/>
        <v>0.7</v>
      </c>
      <c r="CT168" s="3000">
        <f t="shared" si="57"/>
        <v>0</v>
      </c>
      <c r="CU168" s="2954">
        <f t="shared" si="57"/>
        <v>0</v>
      </c>
      <c r="CV168" s="2954">
        <f t="shared" si="57"/>
        <v>0</v>
      </c>
      <c r="CW168" s="2445"/>
      <c r="CX168" s="1940" t="s">
        <v>3616</v>
      </c>
      <c r="CY168" s="1944" t="s">
        <v>140</v>
      </c>
      <c r="CZ168" s="1941" t="s">
        <v>141</v>
      </c>
      <c r="DA168" s="2944">
        <v>0.4</v>
      </c>
      <c r="DB168" s="2945"/>
      <c r="DC168" s="2945"/>
      <c r="DD168" s="2945"/>
      <c r="DE168" s="2945"/>
      <c r="DF168" s="2945"/>
      <c r="DG168" s="2945"/>
      <c r="DH168" s="2945"/>
      <c r="DI168" s="2945"/>
      <c r="DJ168" s="2945"/>
      <c r="DK168" s="3001"/>
      <c r="DL168" s="2955"/>
      <c r="DM168" s="2955"/>
    </row>
    <row r="169" spans="1:117">
      <c r="B169" s="1914" t="str">
        <f t="shared" si="73"/>
        <v>3.2.1</v>
      </c>
      <c r="C169" s="1937" t="str">
        <f t="shared" si="69"/>
        <v>消火剤</v>
      </c>
      <c r="D169" s="1927">
        <f t="shared" ref="D169:E171" si="84">IF(I$168&gt;0,G169/I$168,0)</f>
        <v>0.33333333333333337</v>
      </c>
      <c r="E169" s="1939">
        <f t="shared" si="84"/>
        <v>0</v>
      </c>
      <c r="G169" s="1939">
        <f t="shared" si="70"/>
        <v>0.33333333333333337</v>
      </c>
      <c r="H169" s="1939">
        <f t="shared" si="71"/>
        <v>0</v>
      </c>
      <c r="I169" s="1939"/>
      <c r="J169" s="1939"/>
      <c r="K169" s="1939">
        <f>IF(スコア!Q169=0,0,1)</f>
        <v>1</v>
      </c>
      <c r="L169" s="1939">
        <f>IF(スコア!T169=0,0,1)</f>
        <v>0</v>
      </c>
      <c r="M169" s="1939">
        <f t="shared" si="72"/>
        <v>0.33333333333333337</v>
      </c>
      <c r="N169" s="1939">
        <f t="shared" si="78"/>
        <v>0</v>
      </c>
      <c r="P169" s="1940" t="str">
        <f t="shared" si="77"/>
        <v>3.2.1</v>
      </c>
      <c r="Q169" s="1940" t="str">
        <f t="shared" si="77"/>
        <v>LR2 3.2</v>
      </c>
      <c r="R169" s="1941" t="str">
        <f t="shared" si="77"/>
        <v>消火剤</v>
      </c>
      <c r="S169" s="1942">
        <f t="shared" si="76"/>
        <v>0.33333333333333331</v>
      </c>
      <c r="T169" s="1942">
        <f t="shared" si="76"/>
        <v>0.33333333333333331</v>
      </c>
      <c r="U169" s="1942">
        <f t="shared" si="76"/>
        <v>0.33333333333333331</v>
      </c>
      <c r="V169" s="1942">
        <f t="shared" si="76"/>
        <v>0.33333333333333331</v>
      </c>
      <c r="W169" s="1942">
        <f t="shared" si="76"/>
        <v>0.33333333333333331</v>
      </c>
      <c r="X169" s="1942">
        <f t="shared" si="83"/>
        <v>0.33333333333333331</v>
      </c>
      <c r="Y169" s="1942">
        <f t="shared" si="83"/>
        <v>0.33333333333333331</v>
      </c>
      <c r="Z169" s="1951">
        <f t="shared" si="83"/>
        <v>0.33333333333333331</v>
      </c>
      <c r="AA169" s="1942">
        <f t="shared" si="83"/>
        <v>0.33333333333333331</v>
      </c>
      <c r="AB169" s="1942">
        <f t="shared" si="83"/>
        <v>0.33333333333333331</v>
      </c>
      <c r="AC169" s="2028">
        <f t="shared" si="75"/>
        <v>0</v>
      </c>
      <c r="AD169" s="1961">
        <f t="shared" si="75"/>
        <v>0</v>
      </c>
      <c r="AE169" s="1961">
        <f t="shared" si="75"/>
        <v>0</v>
      </c>
      <c r="AG169" s="1940" t="s">
        <v>1178</v>
      </c>
      <c r="AH169" s="1944" t="s">
        <v>2056</v>
      </c>
      <c r="AI169" s="1945" t="s">
        <v>1179</v>
      </c>
      <c r="AJ169" s="1947">
        <v>0.33333333333333331</v>
      </c>
      <c r="AK169" s="1947">
        <v>0.33333333333333331</v>
      </c>
      <c r="AL169" s="1947">
        <v>0.33333333333333331</v>
      </c>
      <c r="AM169" s="1947">
        <v>0.33333333333333331</v>
      </c>
      <c r="AN169" s="1947">
        <v>0.33333333333333331</v>
      </c>
      <c r="AO169" s="1947">
        <v>0.33333333333333331</v>
      </c>
      <c r="AP169" s="1947">
        <v>0.33333333333333331</v>
      </c>
      <c r="AQ169" s="1947">
        <v>0.33333333333333331</v>
      </c>
      <c r="AR169" s="1947">
        <v>0.33333333333333331</v>
      </c>
      <c r="AS169" s="1947">
        <v>0.33333333333333331</v>
      </c>
      <c r="AT169" s="2029">
        <v>0</v>
      </c>
      <c r="AU169" s="1963">
        <v>0</v>
      </c>
      <c r="AV169" s="1963">
        <v>0</v>
      </c>
      <c r="AX169" s="1940" t="s">
        <v>1178</v>
      </c>
      <c r="AY169" s="1944" t="s">
        <v>2056</v>
      </c>
      <c r="AZ169" s="1945" t="s">
        <v>1179</v>
      </c>
      <c r="BA169" s="1947">
        <v>0.33333333333333331</v>
      </c>
      <c r="BB169" s="1947">
        <v>0.33333333333333331</v>
      </c>
      <c r="BC169" s="1947">
        <v>0.33333333333333331</v>
      </c>
      <c r="BD169" s="1947">
        <v>0.33333333333333331</v>
      </c>
      <c r="BE169" s="1947">
        <v>0.33333333333333331</v>
      </c>
      <c r="BF169" s="1947">
        <v>0.33333333333333331</v>
      </c>
      <c r="BG169" s="1947">
        <v>0.33333333333333331</v>
      </c>
      <c r="BH169" s="1947">
        <v>0.33333333333333331</v>
      </c>
      <c r="BI169" s="1947">
        <v>0.33333333333333331</v>
      </c>
      <c r="BJ169" s="1947">
        <v>0.33333333333333331</v>
      </c>
      <c r="BK169" s="2029"/>
      <c r="BL169" s="1963"/>
      <c r="BM169" s="1963"/>
      <c r="BO169" s="1940" t="s">
        <v>3678</v>
      </c>
      <c r="BP169" s="1944" t="s">
        <v>2056</v>
      </c>
      <c r="BQ169" s="1945" t="s">
        <v>3661</v>
      </c>
      <c r="BR169" s="1947">
        <v>0.33333333333333331</v>
      </c>
      <c r="BS169" s="1947">
        <v>0.33333333333333331</v>
      </c>
      <c r="BT169" s="1947">
        <v>0.33333333333333331</v>
      </c>
      <c r="BU169" s="1947">
        <v>0.33333333333333331</v>
      </c>
      <c r="BV169" s="1947">
        <v>0.33333333333333331</v>
      </c>
      <c r="BW169" s="1947">
        <v>0.33333333333333331</v>
      </c>
      <c r="BX169" s="1947">
        <v>0.33333333333333331</v>
      </c>
      <c r="BY169" s="1947">
        <v>0.33333333333333331</v>
      </c>
      <c r="BZ169" s="1947">
        <v>0.33333333333333331</v>
      </c>
      <c r="CA169" s="1947">
        <v>0.33333333333333331</v>
      </c>
      <c r="CB169" s="2029"/>
      <c r="CC169" s="1963"/>
      <c r="CD169" s="1963"/>
      <c r="CE169" s="2296"/>
      <c r="CG169" s="1940" t="s">
        <v>3617</v>
      </c>
      <c r="CH169" s="1944" t="s">
        <v>2056</v>
      </c>
      <c r="CI169" s="1945" t="s">
        <v>3618</v>
      </c>
      <c r="CJ169" s="2943">
        <f t="shared" si="68"/>
        <v>0.33333333333333331</v>
      </c>
      <c r="CK169" s="2943">
        <f t="shared" si="68"/>
        <v>0.33333333333333331</v>
      </c>
      <c r="CL169" s="2943">
        <f t="shared" si="68"/>
        <v>0.33333333333333331</v>
      </c>
      <c r="CM169" s="2943">
        <f t="shared" si="68"/>
        <v>0.33333333333333331</v>
      </c>
      <c r="CN169" s="2943">
        <f t="shared" si="68"/>
        <v>0.33333333333333331</v>
      </c>
      <c r="CO169" s="2943">
        <f t="shared" si="65"/>
        <v>0.33333333333333331</v>
      </c>
      <c r="CP169" s="2943">
        <f t="shared" si="65"/>
        <v>0.33333333333333331</v>
      </c>
      <c r="CQ169" s="2943">
        <f t="shared" si="65"/>
        <v>0.33333333333333331</v>
      </c>
      <c r="CR169" s="2943">
        <f t="shared" si="65"/>
        <v>0.33333333333333331</v>
      </c>
      <c r="CS169" s="2943">
        <f t="shared" si="65"/>
        <v>0.33333333333333331</v>
      </c>
      <c r="CT169" s="3000">
        <f t="shared" si="57"/>
        <v>0</v>
      </c>
      <c r="CU169" s="2954">
        <f t="shared" si="57"/>
        <v>0</v>
      </c>
      <c r="CV169" s="2954">
        <f t="shared" si="57"/>
        <v>0</v>
      </c>
      <c r="CW169" s="2445"/>
      <c r="CX169" s="1940" t="s">
        <v>3617</v>
      </c>
      <c r="CY169" s="1944" t="s">
        <v>2056</v>
      </c>
      <c r="CZ169" s="1945" t="s">
        <v>3618</v>
      </c>
      <c r="DA169" s="2944">
        <v>0</v>
      </c>
      <c r="DB169" s="2945"/>
      <c r="DC169" s="2945"/>
      <c r="DD169" s="2945"/>
      <c r="DE169" s="2945"/>
      <c r="DF169" s="2945"/>
      <c r="DG169" s="2945"/>
      <c r="DH169" s="2945"/>
      <c r="DI169" s="2945"/>
      <c r="DJ169" s="2945"/>
      <c r="DK169" s="3001"/>
      <c r="DL169" s="2955"/>
      <c r="DM169" s="2955"/>
    </row>
    <row r="170" spans="1:117">
      <c r="B170" s="1914" t="str">
        <f t="shared" si="73"/>
        <v>3.2.2</v>
      </c>
      <c r="C170" s="1937" t="str">
        <f t="shared" si="69"/>
        <v>発泡剤（断熱材等）</v>
      </c>
      <c r="D170" s="1927">
        <f t="shared" si="84"/>
        <v>0.33333333333333337</v>
      </c>
      <c r="E170" s="1939">
        <f t="shared" si="84"/>
        <v>0</v>
      </c>
      <c r="G170" s="1939">
        <f t="shared" si="70"/>
        <v>0.33333333333333337</v>
      </c>
      <c r="H170" s="1939">
        <f t="shared" si="71"/>
        <v>0</v>
      </c>
      <c r="I170" s="1939"/>
      <c r="J170" s="1939"/>
      <c r="K170" s="1939">
        <f>IF(スコア!Q170=0,0,1)</f>
        <v>1</v>
      </c>
      <c r="L170" s="1939">
        <f>IF(スコア!T170=0,0,1)</f>
        <v>0</v>
      </c>
      <c r="M170" s="1939">
        <f t="shared" si="72"/>
        <v>0.33333333333333337</v>
      </c>
      <c r="N170" s="1939">
        <f t="shared" si="78"/>
        <v>0</v>
      </c>
      <c r="P170" s="1940" t="str">
        <f t="shared" si="77"/>
        <v>3.2.2</v>
      </c>
      <c r="Q170" s="1940" t="str">
        <f t="shared" si="77"/>
        <v>LR2 3.2</v>
      </c>
      <c r="R170" s="1941" t="str">
        <f t="shared" si="77"/>
        <v>発泡剤（断熱材等）</v>
      </c>
      <c r="S170" s="1942">
        <f t="shared" si="76"/>
        <v>0.33333333333333331</v>
      </c>
      <c r="T170" s="1942">
        <f t="shared" si="76"/>
        <v>0.33333333333333331</v>
      </c>
      <c r="U170" s="1942">
        <f t="shared" si="76"/>
        <v>0.33333333333333331</v>
      </c>
      <c r="V170" s="1942">
        <f t="shared" si="76"/>
        <v>0.33333333333333331</v>
      </c>
      <c r="W170" s="1942">
        <f t="shared" si="76"/>
        <v>0.33333333333333331</v>
      </c>
      <c r="X170" s="1942">
        <f t="shared" si="83"/>
        <v>0.33333333333333331</v>
      </c>
      <c r="Y170" s="1942">
        <f t="shared" si="83"/>
        <v>0.33333333333333331</v>
      </c>
      <c r="Z170" s="1951">
        <f t="shared" si="83"/>
        <v>0.33333333333333331</v>
      </c>
      <c r="AA170" s="1942">
        <f t="shared" si="83"/>
        <v>0.33333333333333331</v>
      </c>
      <c r="AB170" s="1942">
        <f t="shared" si="83"/>
        <v>0.33333333333333331</v>
      </c>
      <c r="AC170" s="2028">
        <f t="shared" si="75"/>
        <v>0</v>
      </c>
      <c r="AD170" s="1961">
        <f t="shared" si="75"/>
        <v>0</v>
      </c>
      <c r="AE170" s="1961">
        <f t="shared" si="75"/>
        <v>0</v>
      </c>
      <c r="AG170" s="1940" t="s">
        <v>1180</v>
      </c>
      <c r="AH170" s="1944" t="s">
        <v>2056</v>
      </c>
      <c r="AI170" s="1945" t="s">
        <v>2057</v>
      </c>
      <c r="AJ170" s="1947">
        <v>0.33333333333333331</v>
      </c>
      <c r="AK170" s="1947">
        <v>0.33333333333333331</v>
      </c>
      <c r="AL170" s="1947">
        <v>0.33333333333333331</v>
      </c>
      <c r="AM170" s="1947">
        <v>0.33333333333333331</v>
      </c>
      <c r="AN170" s="1947">
        <v>0.33333333333333331</v>
      </c>
      <c r="AO170" s="1947">
        <v>0.33333333333333331</v>
      </c>
      <c r="AP170" s="1947">
        <v>0.33333333333333331</v>
      </c>
      <c r="AQ170" s="1947">
        <v>0.33333333333333331</v>
      </c>
      <c r="AR170" s="1947">
        <v>0.33333333333333331</v>
      </c>
      <c r="AS170" s="1947">
        <v>0.33333333333333331</v>
      </c>
      <c r="AT170" s="2029">
        <v>0</v>
      </c>
      <c r="AU170" s="1963">
        <v>0</v>
      </c>
      <c r="AV170" s="1963">
        <v>0</v>
      </c>
      <c r="AX170" s="1940" t="s">
        <v>1180</v>
      </c>
      <c r="AY170" s="1944" t="s">
        <v>2056</v>
      </c>
      <c r="AZ170" s="1945" t="s">
        <v>2057</v>
      </c>
      <c r="BA170" s="1947">
        <v>0.33333333333333331</v>
      </c>
      <c r="BB170" s="1947">
        <v>0.33333333333333331</v>
      </c>
      <c r="BC170" s="1947">
        <v>0.33333333333333331</v>
      </c>
      <c r="BD170" s="1947">
        <v>0.33333333333333331</v>
      </c>
      <c r="BE170" s="1947">
        <v>0.33333333333333331</v>
      </c>
      <c r="BF170" s="1947">
        <v>0.33333333333333331</v>
      </c>
      <c r="BG170" s="1947">
        <v>0.33333333333333331</v>
      </c>
      <c r="BH170" s="1947">
        <v>0.33333333333333331</v>
      </c>
      <c r="BI170" s="1947">
        <v>0.33333333333333331</v>
      </c>
      <c r="BJ170" s="1947">
        <v>0.33333333333333331</v>
      </c>
      <c r="BK170" s="2029"/>
      <c r="BL170" s="1963"/>
      <c r="BM170" s="1963"/>
      <c r="BO170" s="1940" t="s">
        <v>3679</v>
      </c>
      <c r="BP170" s="1944" t="s">
        <v>2056</v>
      </c>
      <c r="BQ170" s="1945" t="s">
        <v>2057</v>
      </c>
      <c r="BR170" s="1947">
        <v>0.33333333333333331</v>
      </c>
      <c r="BS170" s="1947">
        <v>0.33333333333333331</v>
      </c>
      <c r="BT170" s="1947">
        <v>0.33333333333333331</v>
      </c>
      <c r="BU170" s="1947">
        <v>0.33333333333333331</v>
      </c>
      <c r="BV170" s="1947">
        <v>0.33333333333333331</v>
      </c>
      <c r="BW170" s="1947">
        <v>0.33333333333333331</v>
      </c>
      <c r="BX170" s="1947">
        <v>0.33333333333333331</v>
      </c>
      <c r="BY170" s="1947">
        <v>0.33333333333333331</v>
      </c>
      <c r="BZ170" s="1947">
        <v>0.33333333333333331</v>
      </c>
      <c r="CA170" s="1947">
        <v>0.33333333333333331</v>
      </c>
      <c r="CB170" s="2029"/>
      <c r="CC170" s="1963"/>
      <c r="CD170" s="1963"/>
      <c r="CE170" s="2296"/>
      <c r="CG170" s="1940" t="s">
        <v>3619</v>
      </c>
      <c r="CH170" s="1944" t="s">
        <v>2056</v>
      </c>
      <c r="CI170" s="1945" t="s">
        <v>3620</v>
      </c>
      <c r="CJ170" s="2943">
        <f t="shared" si="68"/>
        <v>0.33333333333333331</v>
      </c>
      <c r="CK170" s="2943">
        <f t="shared" si="68"/>
        <v>0.33333333333333331</v>
      </c>
      <c r="CL170" s="2943">
        <f t="shared" si="68"/>
        <v>0.33333333333333331</v>
      </c>
      <c r="CM170" s="2943">
        <f t="shared" si="68"/>
        <v>0.33333333333333331</v>
      </c>
      <c r="CN170" s="2943">
        <f t="shared" si="68"/>
        <v>0.33333333333333331</v>
      </c>
      <c r="CO170" s="2943">
        <f t="shared" si="65"/>
        <v>0.33333333333333331</v>
      </c>
      <c r="CP170" s="2943">
        <f t="shared" si="65"/>
        <v>0.33333333333333331</v>
      </c>
      <c r="CQ170" s="2943">
        <f t="shared" si="65"/>
        <v>0.33333333333333331</v>
      </c>
      <c r="CR170" s="2943">
        <f t="shared" si="65"/>
        <v>0.33333333333333331</v>
      </c>
      <c r="CS170" s="2943">
        <f t="shared" si="65"/>
        <v>0.33333333333333331</v>
      </c>
      <c r="CT170" s="3000">
        <f t="shared" si="57"/>
        <v>0</v>
      </c>
      <c r="CU170" s="2954">
        <f t="shared" si="57"/>
        <v>0</v>
      </c>
      <c r="CV170" s="2954">
        <f t="shared" si="57"/>
        <v>0</v>
      </c>
      <c r="CW170" s="2445"/>
      <c r="CX170" s="1940" t="s">
        <v>3619</v>
      </c>
      <c r="CY170" s="1944" t="s">
        <v>2056</v>
      </c>
      <c r="CZ170" s="1945" t="s">
        <v>3620</v>
      </c>
      <c r="DA170" s="2944">
        <v>0</v>
      </c>
      <c r="DB170" s="2945"/>
      <c r="DC170" s="2945"/>
      <c r="DD170" s="2945"/>
      <c r="DE170" s="2945"/>
      <c r="DF170" s="2945"/>
      <c r="DG170" s="2945"/>
      <c r="DH170" s="2945"/>
      <c r="DI170" s="2945"/>
      <c r="DJ170" s="2945"/>
      <c r="DK170" s="3001"/>
      <c r="DL170" s="2955"/>
      <c r="DM170" s="2955"/>
    </row>
    <row r="171" spans="1:117">
      <c r="B171" s="1914" t="str">
        <f t="shared" si="73"/>
        <v>3.2.3</v>
      </c>
      <c r="C171" s="1937" t="str">
        <f t="shared" si="69"/>
        <v>冷媒</v>
      </c>
      <c r="D171" s="1927">
        <f t="shared" si="84"/>
        <v>0.33333333333333337</v>
      </c>
      <c r="E171" s="1939">
        <f t="shared" si="84"/>
        <v>0</v>
      </c>
      <c r="G171" s="1939">
        <f t="shared" si="70"/>
        <v>0.33333333333333337</v>
      </c>
      <c r="H171" s="1939">
        <f t="shared" si="71"/>
        <v>0</v>
      </c>
      <c r="I171" s="1939"/>
      <c r="J171" s="1939"/>
      <c r="K171" s="1939">
        <f>IF(スコア!Q171=0,0,1)</f>
        <v>1</v>
      </c>
      <c r="L171" s="1939">
        <f>IF(スコア!T171=0,0,1)</f>
        <v>0</v>
      </c>
      <c r="M171" s="1939">
        <f t="shared" si="72"/>
        <v>0.33333333333333337</v>
      </c>
      <c r="N171" s="1939">
        <f t="shared" si="78"/>
        <v>0</v>
      </c>
      <c r="P171" s="1940" t="str">
        <f t="shared" si="77"/>
        <v>3.2.3</v>
      </c>
      <c r="Q171" s="1940" t="str">
        <f t="shared" si="77"/>
        <v>LR2 3.2</v>
      </c>
      <c r="R171" s="1941" t="str">
        <f t="shared" si="77"/>
        <v>冷媒</v>
      </c>
      <c r="S171" s="1942">
        <f t="shared" si="76"/>
        <v>0.33333333333333331</v>
      </c>
      <c r="T171" s="1942">
        <f t="shared" si="76"/>
        <v>0.33333333333333331</v>
      </c>
      <c r="U171" s="1942">
        <f t="shared" si="76"/>
        <v>0.33333333333333331</v>
      </c>
      <c r="V171" s="1942">
        <f t="shared" si="76"/>
        <v>0.33333333333333331</v>
      </c>
      <c r="W171" s="1942">
        <f t="shared" si="76"/>
        <v>0.33333333333333331</v>
      </c>
      <c r="X171" s="1942">
        <f t="shared" si="83"/>
        <v>0.33333333333333331</v>
      </c>
      <c r="Y171" s="1942">
        <f t="shared" si="83"/>
        <v>0.33333333333333331</v>
      </c>
      <c r="Z171" s="1951">
        <f t="shared" si="83"/>
        <v>0.33333333333333331</v>
      </c>
      <c r="AA171" s="1942">
        <f t="shared" si="83"/>
        <v>0.33333333333333331</v>
      </c>
      <c r="AB171" s="1942">
        <f t="shared" si="83"/>
        <v>0.33333333333333331</v>
      </c>
      <c r="AC171" s="2028">
        <f t="shared" si="75"/>
        <v>0</v>
      </c>
      <c r="AD171" s="1961">
        <f t="shared" si="75"/>
        <v>0</v>
      </c>
      <c r="AE171" s="1961">
        <f t="shared" si="75"/>
        <v>0</v>
      </c>
      <c r="AG171" s="1940" t="s">
        <v>1386</v>
      </c>
      <c r="AH171" s="1944" t="s">
        <v>2056</v>
      </c>
      <c r="AI171" s="1945" t="s">
        <v>2058</v>
      </c>
      <c r="AJ171" s="1947">
        <v>0.33333333333333331</v>
      </c>
      <c r="AK171" s="1947">
        <v>0.33333333333333331</v>
      </c>
      <c r="AL171" s="1947">
        <v>0.33333333333333331</v>
      </c>
      <c r="AM171" s="1947">
        <v>0.33333333333333331</v>
      </c>
      <c r="AN171" s="1947">
        <v>0.33333333333333331</v>
      </c>
      <c r="AO171" s="1947">
        <v>0.33333333333333331</v>
      </c>
      <c r="AP171" s="1947">
        <v>0.33333333333333331</v>
      </c>
      <c r="AQ171" s="1947">
        <v>0.33333333333333331</v>
      </c>
      <c r="AR171" s="1947">
        <v>0.33333333333333331</v>
      </c>
      <c r="AS171" s="1947">
        <v>0.33333333333333331</v>
      </c>
      <c r="AT171" s="2029">
        <v>0</v>
      </c>
      <c r="AU171" s="1963">
        <v>0</v>
      </c>
      <c r="AV171" s="1963">
        <v>0</v>
      </c>
      <c r="AX171" s="1940" t="s">
        <v>1386</v>
      </c>
      <c r="AY171" s="1944" t="s">
        <v>2056</v>
      </c>
      <c r="AZ171" s="1945" t="s">
        <v>2058</v>
      </c>
      <c r="BA171" s="1947">
        <v>0.33333333333333331</v>
      </c>
      <c r="BB171" s="1947">
        <v>0.33333333333333331</v>
      </c>
      <c r="BC171" s="1947">
        <v>0.33333333333333331</v>
      </c>
      <c r="BD171" s="1947">
        <v>0.33333333333333331</v>
      </c>
      <c r="BE171" s="1947">
        <v>0.33333333333333331</v>
      </c>
      <c r="BF171" s="1947">
        <v>0.33333333333333331</v>
      </c>
      <c r="BG171" s="1947">
        <v>0.33333333333333331</v>
      </c>
      <c r="BH171" s="1947">
        <v>0.33333333333333331</v>
      </c>
      <c r="BI171" s="1947">
        <v>0.33333333333333331</v>
      </c>
      <c r="BJ171" s="1947">
        <v>0.33333333333333331</v>
      </c>
      <c r="BK171" s="2029"/>
      <c r="BL171" s="1963"/>
      <c r="BM171" s="1963"/>
      <c r="BO171" s="1940" t="s">
        <v>2091</v>
      </c>
      <c r="BP171" s="1944" t="s">
        <v>2056</v>
      </c>
      <c r="BQ171" s="1945" t="s">
        <v>2058</v>
      </c>
      <c r="BR171" s="1947">
        <v>0.33333333333333331</v>
      </c>
      <c r="BS171" s="1947">
        <v>0.33333333333333331</v>
      </c>
      <c r="BT171" s="1947">
        <v>0.33333333333333331</v>
      </c>
      <c r="BU171" s="1947">
        <v>0.33333333333333331</v>
      </c>
      <c r="BV171" s="1947">
        <v>0.33333333333333331</v>
      </c>
      <c r="BW171" s="1947">
        <v>0.33333333333333331</v>
      </c>
      <c r="BX171" s="1947">
        <v>0.33333333333333331</v>
      </c>
      <c r="BY171" s="1947">
        <v>0.33333333333333331</v>
      </c>
      <c r="BZ171" s="1947">
        <v>0.33333333333333331</v>
      </c>
      <c r="CA171" s="1947">
        <v>0.33333333333333331</v>
      </c>
      <c r="CB171" s="2029"/>
      <c r="CC171" s="1963"/>
      <c r="CD171" s="1963"/>
      <c r="CE171" s="2296"/>
      <c r="CG171" s="1940" t="s">
        <v>3621</v>
      </c>
      <c r="CH171" s="1944" t="s">
        <v>2056</v>
      </c>
      <c r="CI171" s="1945" t="s">
        <v>2058</v>
      </c>
      <c r="CJ171" s="2943">
        <f t="shared" si="68"/>
        <v>0.33333333333333331</v>
      </c>
      <c r="CK171" s="2943">
        <f t="shared" si="68"/>
        <v>0.33333333333333331</v>
      </c>
      <c r="CL171" s="2943">
        <f t="shared" si="68"/>
        <v>0.33333333333333331</v>
      </c>
      <c r="CM171" s="2943">
        <f t="shared" si="68"/>
        <v>0.33333333333333331</v>
      </c>
      <c r="CN171" s="2943">
        <f t="shared" si="68"/>
        <v>0.33333333333333331</v>
      </c>
      <c r="CO171" s="2943">
        <f t="shared" si="65"/>
        <v>0.33333333333333331</v>
      </c>
      <c r="CP171" s="2943">
        <f t="shared" si="65"/>
        <v>0.33333333333333331</v>
      </c>
      <c r="CQ171" s="2943">
        <f t="shared" si="65"/>
        <v>0.33333333333333331</v>
      </c>
      <c r="CR171" s="2943">
        <f t="shared" si="65"/>
        <v>0.33333333333333331</v>
      </c>
      <c r="CS171" s="2943">
        <f t="shared" si="65"/>
        <v>0.33333333333333331</v>
      </c>
      <c r="CT171" s="3000">
        <f t="shared" si="57"/>
        <v>0</v>
      </c>
      <c r="CU171" s="2954">
        <f t="shared" si="57"/>
        <v>0</v>
      </c>
      <c r="CV171" s="2954">
        <f t="shared" si="57"/>
        <v>0</v>
      </c>
      <c r="CW171" s="2445"/>
      <c r="CX171" s="1940" t="s">
        <v>3621</v>
      </c>
      <c r="CY171" s="1944" t="s">
        <v>2056</v>
      </c>
      <c r="CZ171" s="1945" t="s">
        <v>2058</v>
      </c>
      <c r="DA171" s="2944">
        <v>1</v>
      </c>
      <c r="DB171" s="2945"/>
      <c r="DC171" s="2945"/>
      <c r="DD171" s="2945"/>
      <c r="DE171" s="2945"/>
      <c r="DF171" s="2945"/>
      <c r="DG171" s="2945"/>
      <c r="DH171" s="2945"/>
      <c r="DI171" s="2945"/>
      <c r="DJ171" s="2945"/>
      <c r="DK171" s="3001"/>
      <c r="DL171" s="2955"/>
      <c r="DM171" s="2955"/>
    </row>
    <row r="172" spans="1:117" s="1328" customFormat="1">
      <c r="A172"/>
      <c r="B172" s="1914" t="str">
        <f t="shared" si="73"/>
        <v>LR3</v>
      </c>
      <c r="C172" s="1915" t="str">
        <f t="shared" si="69"/>
        <v>敷地外環境</v>
      </c>
      <c r="D172" s="2010" t="e">
        <f>IF(I$121=0,0,G172/I$121)</f>
        <v>#DIV/0!</v>
      </c>
      <c r="E172" s="1917">
        <f>IF(J$121=0,0,H172/J$121)</f>
        <v>0</v>
      </c>
      <c r="F172"/>
      <c r="G172" s="1917" t="e">
        <f t="shared" si="70"/>
        <v>#VALUE!</v>
      </c>
      <c r="H172" s="1917">
        <f t="shared" si="71"/>
        <v>0</v>
      </c>
      <c r="I172" s="1917" t="e">
        <f>G173+G174+G183</f>
        <v>#VALUE!</v>
      </c>
      <c r="J172" s="1917">
        <f>H173+H174+H183</f>
        <v>0</v>
      </c>
      <c r="K172" s="1917" t="e">
        <f>IF(スコア!V172=0,0,1)</f>
        <v>#VALUE!</v>
      </c>
      <c r="L172" s="1917">
        <f>IF(スコア!T172=0,0,1)</f>
        <v>0</v>
      </c>
      <c r="M172" s="1917">
        <f t="shared" si="72"/>
        <v>0.3</v>
      </c>
      <c r="N172" s="1917">
        <f t="shared" si="78"/>
        <v>0</v>
      </c>
      <c r="O172"/>
      <c r="P172" s="2016" t="str">
        <f t="shared" si="77"/>
        <v>LR3</v>
      </c>
      <c r="Q172" s="2016" t="str">
        <f t="shared" si="77"/>
        <v>LR</v>
      </c>
      <c r="R172" s="1918" t="str">
        <f t="shared" si="77"/>
        <v>敷地外環境</v>
      </c>
      <c r="S172" s="1919">
        <f t="shared" si="76"/>
        <v>0.3</v>
      </c>
      <c r="T172" s="1919">
        <f t="shared" si="76"/>
        <v>0.3</v>
      </c>
      <c r="U172" s="1919">
        <f t="shared" si="76"/>
        <v>0.3</v>
      </c>
      <c r="V172" s="1919">
        <f t="shared" si="76"/>
        <v>0.3</v>
      </c>
      <c r="W172" s="1919">
        <f t="shared" si="76"/>
        <v>0.3</v>
      </c>
      <c r="X172" s="1919">
        <f t="shared" si="83"/>
        <v>0.3</v>
      </c>
      <c r="Y172" s="1919">
        <f t="shared" si="83"/>
        <v>0.3</v>
      </c>
      <c r="Z172" s="1919">
        <f t="shared" si="83"/>
        <v>0.3</v>
      </c>
      <c r="AA172" s="1919">
        <f t="shared" si="83"/>
        <v>0.3</v>
      </c>
      <c r="AB172" s="1919">
        <f t="shared" si="83"/>
        <v>0.3</v>
      </c>
      <c r="AC172" s="2018">
        <f t="shared" si="75"/>
        <v>0</v>
      </c>
      <c r="AD172" s="2019">
        <f t="shared" si="75"/>
        <v>0</v>
      </c>
      <c r="AE172" s="2019">
        <f t="shared" si="75"/>
        <v>0</v>
      </c>
      <c r="AF172"/>
      <c r="AG172" s="2016" t="s">
        <v>1387</v>
      </c>
      <c r="AH172" s="2020" t="s">
        <v>1388</v>
      </c>
      <c r="AI172" s="1918" t="s">
        <v>1389</v>
      </c>
      <c r="AJ172" s="1922">
        <v>0.3</v>
      </c>
      <c r="AK172" s="1922">
        <v>0.3</v>
      </c>
      <c r="AL172" s="1922">
        <v>0.3</v>
      </c>
      <c r="AM172" s="1922">
        <v>0.3</v>
      </c>
      <c r="AN172" s="1922">
        <v>0.3</v>
      </c>
      <c r="AO172" s="1922">
        <v>0.3</v>
      </c>
      <c r="AP172" s="1922">
        <v>0.3</v>
      </c>
      <c r="AQ172" s="1922">
        <v>0.3</v>
      </c>
      <c r="AR172" s="1922">
        <v>0.3</v>
      </c>
      <c r="AS172" s="1922">
        <v>0.3</v>
      </c>
      <c r="AT172" s="2022">
        <v>0</v>
      </c>
      <c r="AU172" s="2023">
        <v>0</v>
      </c>
      <c r="AV172" s="2023">
        <v>0</v>
      </c>
      <c r="AW172"/>
      <c r="AX172" s="2016" t="s">
        <v>1387</v>
      </c>
      <c r="AY172" s="2020" t="s">
        <v>1388</v>
      </c>
      <c r="AZ172" s="1918" t="s">
        <v>1389</v>
      </c>
      <c r="BA172" s="1922">
        <v>0.3</v>
      </c>
      <c r="BB172" s="1922">
        <v>0.3</v>
      </c>
      <c r="BC172" s="1922">
        <v>0.3</v>
      </c>
      <c r="BD172" s="1922">
        <v>0.3</v>
      </c>
      <c r="BE172" s="1922">
        <v>0.3</v>
      </c>
      <c r="BF172" s="1922">
        <v>0.3</v>
      </c>
      <c r="BG172" s="1922">
        <v>0.3</v>
      </c>
      <c r="BH172" s="1922">
        <v>0.3</v>
      </c>
      <c r="BI172" s="1922">
        <v>0.3</v>
      </c>
      <c r="BJ172" s="1922">
        <v>0.3</v>
      </c>
      <c r="BK172" s="2022"/>
      <c r="BL172" s="2023"/>
      <c r="BM172" s="2023"/>
      <c r="BN172"/>
      <c r="BO172" s="2016" t="s">
        <v>1305</v>
      </c>
      <c r="BP172" s="2020" t="s">
        <v>130</v>
      </c>
      <c r="BQ172" s="1918" t="s">
        <v>3662</v>
      </c>
      <c r="BR172" s="1922">
        <v>0.3</v>
      </c>
      <c r="BS172" s="1922">
        <v>0.3</v>
      </c>
      <c r="BT172" s="1922">
        <v>0.3</v>
      </c>
      <c r="BU172" s="1922">
        <v>0.3</v>
      </c>
      <c r="BV172" s="1922">
        <v>0.3</v>
      </c>
      <c r="BW172" s="1922">
        <v>0.3</v>
      </c>
      <c r="BX172" s="1922">
        <v>0.3</v>
      </c>
      <c r="BY172" s="1922">
        <v>0.3</v>
      </c>
      <c r="BZ172" s="1922">
        <v>0.3</v>
      </c>
      <c r="CA172" s="1922">
        <v>0.3</v>
      </c>
      <c r="CB172" s="2022"/>
      <c r="CC172" s="2023"/>
      <c r="CD172" s="2023"/>
      <c r="CE172" s="2306"/>
      <c r="CF172"/>
      <c r="CG172" s="2016" t="s">
        <v>3622</v>
      </c>
      <c r="CH172" s="2020" t="s">
        <v>3565</v>
      </c>
      <c r="CI172" s="1918" t="s">
        <v>3623</v>
      </c>
      <c r="CJ172" s="2934">
        <f>BR172</f>
        <v>0.3</v>
      </c>
      <c r="CK172" s="2934">
        <f t="shared" si="68"/>
        <v>0.3</v>
      </c>
      <c r="CL172" s="2934">
        <f t="shared" si="68"/>
        <v>0.3</v>
      </c>
      <c r="CM172" s="2934">
        <f t="shared" si="68"/>
        <v>0.3</v>
      </c>
      <c r="CN172" s="2934">
        <f t="shared" si="68"/>
        <v>0.3</v>
      </c>
      <c r="CO172" s="2934">
        <f t="shared" si="65"/>
        <v>0.3</v>
      </c>
      <c r="CP172" s="2934">
        <f t="shared" si="65"/>
        <v>0.3</v>
      </c>
      <c r="CQ172" s="2934">
        <f t="shared" si="65"/>
        <v>0.3</v>
      </c>
      <c r="CR172" s="2934">
        <f t="shared" si="65"/>
        <v>0.3</v>
      </c>
      <c r="CS172" s="2934">
        <f t="shared" si="65"/>
        <v>0.3</v>
      </c>
      <c r="CT172" s="3002">
        <f t="shared" si="57"/>
        <v>0</v>
      </c>
      <c r="CU172" s="3003">
        <f t="shared" si="57"/>
        <v>0</v>
      </c>
      <c r="CV172" s="3003">
        <f t="shared" si="57"/>
        <v>0</v>
      </c>
      <c r="CW172" s="2445"/>
      <c r="CX172" s="2016" t="s">
        <v>3622</v>
      </c>
      <c r="CY172" s="2020" t="s">
        <v>3565</v>
      </c>
      <c r="CZ172" s="1918" t="s">
        <v>3624</v>
      </c>
      <c r="DA172" s="2935">
        <v>0.1</v>
      </c>
      <c r="DB172" s="2932"/>
      <c r="DC172" s="2932"/>
      <c r="DD172" s="2932"/>
      <c r="DE172" s="2932"/>
      <c r="DF172" s="2932"/>
      <c r="DG172" s="2932"/>
      <c r="DH172" s="2932"/>
      <c r="DI172" s="2932"/>
      <c r="DJ172" s="2932"/>
      <c r="DK172" s="2994"/>
      <c r="DL172" s="2995"/>
      <c r="DM172" s="2995"/>
    </row>
    <row r="173" spans="1:117" s="1328" customFormat="1">
      <c r="A173"/>
      <c r="B173" s="1921">
        <f t="shared" si="73"/>
        <v>1</v>
      </c>
      <c r="C173" s="1929" t="str">
        <f t="shared" si="69"/>
        <v>地球温暖化への配慮</v>
      </c>
      <c r="D173" s="1925" t="e">
        <f>IF(I$172=0,0,G173/I$172)</f>
        <v>#VALUE!</v>
      </c>
      <c r="E173" s="1925">
        <f>IF(J$172=0,0,H173/J$172)</f>
        <v>0</v>
      </c>
      <c r="F173"/>
      <c r="G173" s="1926" t="e">
        <f t="shared" si="70"/>
        <v>#VALUE!</v>
      </c>
      <c r="H173" s="1926">
        <f t="shared" si="71"/>
        <v>0</v>
      </c>
      <c r="I173" s="1926"/>
      <c r="J173" s="1926"/>
      <c r="K173" s="1926" t="e">
        <f>IF(スコア!Q173=0,0,1)</f>
        <v>#VALUE!</v>
      </c>
      <c r="L173" s="1926">
        <f>IF(スコア!T173=0,0,1)</f>
        <v>0</v>
      </c>
      <c r="M173" s="1926">
        <f t="shared" si="72"/>
        <v>0.33333333333333337</v>
      </c>
      <c r="N173" s="1926">
        <f t="shared" si="78"/>
        <v>0</v>
      </c>
      <c r="O173"/>
      <c r="P173" s="2031">
        <f t="shared" si="77"/>
        <v>1</v>
      </c>
      <c r="Q173" s="1933" t="str">
        <f t="shared" si="77"/>
        <v>LR3</v>
      </c>
      <c r="R173" s="1929" t="str">
        <f t="shared" si="77"/>
        <v>地球温暖化への配慮</v>
      </c>
      <c r="S173" s="1934">
        <f t="shared" si="76"/>
        <v>0.33333333333333331</v>
      </c>
      <c r="T173" s="1934">
        <f t="shared" si="76"/>
        <v>0.33333333333333331</v>
      </c>
      <c r="U173" s="1934">
        <f t="shared" si="76"/>
        <v>0.33333333333333331</v>
      </c>
      <c r="V173" s="1934">
        <f t="shared" si="76"/>
        <v>0.33333333333333331</v>
      </c>
      <c r="W173" s="1934">
        <f t="shared" si="76"/>
        <v>0.33333333333333331</v>
      </c>
      <c r="X173" s="1934">
        <f t="shared" si="83"/>
        <v>0.33333333333333331</v>
      </c>
      <c r="Y173" s="1934">
        <f t="shared" si="83"/>
        <v>0.33333333333333331</v>
      </c>
      <c r="Z173" s="1934">
        <f t="shared" si="83"/>
        <v>0.33333333333333331</v>
      </c>
      <c r="AA173" s="1934">
        <f t="shared" si="83"/>
        <v>0.33333333333333331</v>
      </c>
      <c r="AB173" s="1934">
        <f t="shared" si="83"/>
        <v>0.33333333333333331</v>
      </c>
      <c r="AC173" s="1932">
        <f t="shared" si="75"/>
        <v>0</v>
      </c>
      <c r="AD173" s="1930">
        <f t="shared" si="75"/>
        <v>0</v>
      </c>
      <c r="AE173" s="1930">
        <f t="shared" si="75"/>
        <v>0</v>
      </c>
      <c r="AF173"/>
      <c r="AG173" s="1928">
        <v>1</v>
      </c>
      <c r="AH173" s="1933" t="s">
        <v>1305</v>
      </c>
      <c r="AI173" s="1929" t="s">
        <v>529</v>
      </c>
      <c r="AJ173" s="1934">
        <v>0.33333333333333331</v>
      </c>
      <c r="AK173" s="1934">
        <v>0.33333333333333331</v>
      </c>
      <c r="AL173" s="1934">
        <v>0.33333333333333331</v>
      </c>
      <c r="AM173" s="1934">
        <v>0.33333333333333331</v>
      </c>
      <c r="AN173" s="1934">
        <v>0.33333333333333331</v>
      </c>
      <c r="AO173" s="1934">
        <v>0.33333333333333331</v>
      </c>
      <c r="AP173" s="1934">
        <v>0.33333333333333331</v>
      </c>
      <c r="AQ173" s="1934">
        <v>0.33333333333333331</v>
      </c>
      <c r="AR173" s="1934">
        <v>0.33333333333333331</v>
      </c>
      <c r="AS173" s="1934">
        <v>0.33333333333333331</v>
      </c>
      <c r="AT173" s="1935">
        <v>0</v>
      </c>
      <c r="AU173" s="1934">
        <v>0</v>
      </c>
      <c r="AV173" s="1934">
        <v>0</v>
      </c>
      <c r="AW173"/>
      <c r="AX173" s="1928">
        <v>1</v>
      </c>
      <c r="AY173" s="1933" t="s">
        <v>1305</v>
      </c>
      <c r="AZ173" s="1929" t="s">
        <v>529</v>
      </c>
      <c r="BA173" s="1934">
        <f t="shared" ref="BA173:BJ174" si="85">1/3</f>
        <v>0.33333333333333331</v>
      </c>
      <c r="BB173" s="1934">
        <f t="shared" si="85"/>
        <v>0.33333333333333331</v>
      </c>
      <c r="BC173" s="1934">
        <f t="shared" si="85"/>
        <v>0.33333333333333331</v>
      </c>
      <c r="BD173" s="1934">
        <f t="shared" si="85"/>
        <v>0.33333333333333331</v>
      </c>
      <c r="BE173" s="1934">
        <f t="shared" si="85"/>
        <v>0.33333333333333331</v>
      </c>
      <c r="BF173" s="1934">
        <f t="shared" si="85"/>
        <v>0.33333333333333331</v>
      </c>
      <c r="BG173" s="1934">
        <f t="shared" si="85"/>
        <v>0.33333333333333331</v>
      </c>
      <c r="BH173" s="1934">
        <f t="shared" si="85"/>
        <v>0.33333333333333331</v>
      </c>
      <c r="BI173" s="1934">
        <f t="shared" si="85"/>
        <v>0.33333333333333331</v>
      </c>
      <c r="BJ173" s="1934">
        <f t="shared" si="85"/>
        <v>0.33333333333333331</v>
      </c>
      <c r="BK173" s="1935"/>
      <c r="BL173" s="1934"/>
      <c r="BM173" s="1934"/>
      <c r="BN173"/>
      <c r="BO173" s="1928">
        <v>1</v>
      </c>
      <c r="BP173" s="1933" t="s">
        <v>1305</v>
      </c>
      <c r="BQ173" s="1929" t="s">
        <v>3771</v>
      </c>
      <c r="BR173" s="1934">
        <f t="shared" ref="BR173:CA174" si="86">1/3</f>
        <v>0.33333333333333331</v>
      </c>
      <c r="BS173" s="1934">
        <f t="shared" si="86"/>
        <v>0.33333333333333331</v>
      </c>
      <c r="BT173" s="1934">
        <f t="shared" si="86"/>
        <v>0.33333333333333331</v>
      </c>
      <c r="BU173" s="1934">
        <f t="shared" si="86"/>
        <v>0.33333333333333331</v>
      </c>
      <c r="BV173" s="1934">
        <f t="shared" si="86"/>
        <v>0.33333333333333331</v>
      </c>
      <c r="BW173" s="1934">
        <f t="shared" si="86"/>
        <v>0.33333333333333331</v>
      </c>
      <c r="BX173" s="1934">
        <f t="shared" si="86"/>
        <v>0.33333333333333331</v>
      </c>
      <c r="BY173" s="1934">
        <f t="shared" si="86"/>
        <v>0.33333333333333331</v>
      </c>
      <c r="BZ173" s="1934">
        <f t="shared" si="86"/>
        <v>0.33333333333333331</v>
      </c>
      <c r="CA173" s="1934">
        <f t="shared" si="86"/>
        <v>0.33333333333333331</v>
      </c>
      <c r="CB173" s="1935"/>
      <c r="CC173" s="1934"/>
      <c r="CD173" s="1934"/>
      <c r="CE173" s="2301"/>
      <c r="CF173"/>
      <c r="CG173" s="1928">
        <v>1</v>
      </c>
      <c r="CH173" s="1933" t="s">
        <v>1305</v>
      </c>
      <c r="CI173" s="1929" t="s">
        <v>529</v>
      </c>
      <c r="CJ173" s="2937">
        <f t="shared" si="68"/>
        <v>0.33333333333333331</v>
      </c>
      <c r="CK173" s="2937">
        <f t="shared" si="68"/>
        <v>0.33333333333333331</v>
      </c>
      <c r="CL173" s="2937">
        <f t="shared" si="68"/>
        <v>0.33333333333333331</v>
      </c>
      <c r="CM173" s="2937">
        <f t="shared" si="68"/>
        <v>0.33333333333333331</v>
      </c>
      <c r="CN173" s="2937">
        <f t="shared" si="68"/>
        <v>0.33333333333333331</v>
      </c>
      <c r="CO173" s="2937">
        <f t="shared" si="65"/>
        <v>0.33333333333333331</v>
      </c>
      <c r="CP173" s="2937">
        <f t="shared" si="65"/>
        <v>0.33333333333333331</v>
      </c>
      <c r="CQ173" s="2937">
        <f t="shared" si="65"/>
        <v>0.33333333333333331</v>
      </c>
      <c r="CR173" s="2937">
        <f t="shared" si="65"/>
        <v>0.33333333333333331</v>
      </c>
      <c r="CS173" s="2937">
        <f t="shared" si="65"/>
        <v>0.33333333333333331</v>
      </c>
      <c r="CT173" s="2939">
        <f t="shared" si="57"/>
        <v>0</v>
      </c>
      <c r="CU173" s="2937">
        <f t="shared" si="57"/>
        <v>0</v>
      </c>
      <c r="CV173" s="2937">
        <f t="shared" si="57"/>
        <v>0</v>
      </c>
      <c r="CW173" s="2445"/>
      <c r="CX173" s="1928">
        <v>1</v>
      </c>
      <c r="CY173" s="1933" t="s">
        <v>1305</v>
      </c>
      <c r="CZ173" s="1929" t="s">
        <v>529</v>
      </c>
      <c r="DA173" s="2974">
        <v>0</v>
      </c>
      <c r="DB173" s="2940"/>
      <c r="DC173" s="2940"/>
      <c r="DD173" s="2940"/>
      <c r="DE173" s="2940"/>
      <c r="DF173" s="2940"/>
      <c r="DG173" s="2940"/>
      <c r="DH173" s="2940"/>
      <c r="DI173" s="2940"/>
      <c r="DJ173" s="2940"/>
      <c r="DK173" s="2942"/>
      <c r="DL173" s="2940"/>
      <c r="DM173" s="2940"/>
    </row>
    <row r="174" spans="1:117" s="1328" customFormat="1">
      <c r="A174"/>
      <c r="B174" s="1914">
        <f t="shared" si="73"/>
        <v>2</v>
      </c>
      <c r="C174" s="1929" t="str">
        <f t="shared" si="69"/>
        <v>地域環境への配慮</v>
      </c>
      <c r="D174" s="1925" t="e">
        <f>IF(I$172=0,0,G174/I$172)</f>
        <v>#VALUE!</v>
      </c>
      <c r="E174" s="1925">
        <f>IF(J$172=0,0,H174/J$172)</f>
        <v>0</v>
      </c>
      <c r="F174"/>
      <c r="G174" s="1926">
        <f t="shared" si="70"/>
        <v>0.33333333333333337</v>
      </c>
      <c r="H174" s="1926">
        <f t="shared" si="71"/>
        <v>0</v>
      </c>
      <c r="I174" s="1926">
        <f>G175+G176+G177+G182</f>
        <v>1</v>
      </c>
      <c r="J174" s="1926">
        <f>H175+H176+H177+H182</f>
        <v>0</v>
      </c>
      <c r="K174" s="1926">
        <f>IF(スコア!Q174=0,0,1)</f>
        <v>1</v>
      </c>
      <c r="L174" s="1926">
        <f>IF(スコア!T174=0,0,1)</f>
        <v>0</v>
      </c>
      <c r="M174" s="1926">
        <f t="shared" si="72"/>
        <v>0.33333333333333337</v>
      </c>
      <c r="N174" s="1926">
        <f t="shared" si="78"/>
        <v>0</v>
      </c>
      <c r="O174"/>
      <c r="P174" s="2031">
        <f t="shared" si="77"/>
        <v>2</v>
      </c>
      <c r="Q174" s="1933" t="str">
        <f t="shared" si="77"/>
        <v>LR3</v>
      </c>
      <c r="R174" s="1929" t="str">
        <f t="shared" si="77"/>
        <v>地域環境への配慮</v>
      </c>
      <c r="S174" s="1934">
        <f t="shared" si="76"/>
        <v>0.33333333333333331</v>
      </c>
      <c r="T174" s="1934">
        <f t="shared" si="76"/>
        <v>0.33333333333333331</v>
      </c>
      <c r="U174" s="1934">
        <f t="shared" si="76"/>
        <v>0.33333333333333331</v>
      </c>
      <c r="V174" s="1934">
        <f t="shared" si="76"/>
        <v>0.33333333333333331</v>
      </c>
      <c r="W174" s="1934">
        <f t="shared" si="76"/>
        <v>0.33333333333333331</v>
      </c>
      <c r="X174" s="1934">
        <f t="shared" si="83"/>
        <v>0.33333333333333331</v>
      </c>
      <c r="Y174" s="1934">
        <f t="shared" si="83"/>
        <v>0.33333333333333331</v>
      </c>
      <c r="Z174" s="1934">
        <f t="shared" si="83"/>
        <v>0.33333333333333331</v>
      </c>
      <c r="AA174" s="1934">
        <f t="shared" si="83"/>
        <v>0.33333333333333331</v>
      </c>
      <c r="AB174" s="1934">
        <f t="shared" si="83"/>
        <v>0.33333333333333331</v>
      </c>
      <c r="AC174" s="1932">
        <f t="shared" si="75"/>
        <v>0</v>
      </c>
      <c r="AD174" s="1930">
        <f t="shared" si="75"/>
        <v>0</v>
      </c>
      <c r="AE174" s="1930">
        <f t="shared" si="75"/>
        <v>0</v>
      </c>
      <c r="AF174"/>
      <c r="AG174" s="1928">
        <v>2</v>
      </c>
      <c r="AH174" s="1933" t="s">
        <v>1305</v>
      </c>
      <c r="AI174" s="1929" t="s">
        <v>530</v>
      </c>
      <c r="AJ174" s="1934">
        <v>0.33333333333333331</v>
      </c>
      <c r="AK174" s="1934">
        <v>0.33333333333333331</v>
      </c>
      <c r="AL174" s="1934">
        <v>0.33333333333333331</v>
      </c>
      <c r="AM174" s="1934">
        <v>0.33333333333333331</v>
      </c>
      <c r="AN174" s="1934">
        <v>0.33333333333333331</v>
      </c>
      <c r="AO174" s="1934">
        <v>0.33333333333333331</v>
      </c>
      <c r="AP174" s="1934">
        <v>0.33333333333333331</v>
      </c>
      <c r="AQ174" s="1934">
        <v>0.33333333333333331</v>
      </c>
      <c r="AR174" s="1934">
        <v>0.33333333333333331</v>
      </c>
      <c r="AS174" s="1934">
        <v>0.33333333333333331</v>
      </c>
      <c r="AT174" s="1935">
        <v>0</v>
      </c>
      <c r="AU174" s="1934">
        <v>0</v>
      </c>
      <c r="AV174" s="1934">
        <v>0</v>
      </c>
      <c r="AW174"/>
      <c r="AX174" s="1928">
        <v>2</v>
      </c>
      <c r="AY174" s="1933" t="s">
        <v>1305</v>
      </c>
      <c r="AZ174" s="1929" t="s">
        <v>530</v>
      </c>
      <c r="BA174" s="1934">
        <f t="shared" si="85"/>
        <v>0.33333333333333331</v>
      </c>
      <c r="BB174" s="1934">
        <f t="shared" si="85"/>
        <v>0.33333333333333331</v>
      </c>
      <c r="BC174" s="1934">
        <f t="shared" si="85"/>
        <v>0.33333333333333331</v>
      </c>
      <c r="BD174" s="1934">
        <f t="shared" si="85"/>
        <v>0.33333333333333331</v>
      </c>
      <c r="BE174" s="1934">
        <f t="shared" si="85"/>
        <v>0.33333333333333331</v>
      </c>
      <c r="BF174" s="1934">
        <f t="shared" si="85"/>
        <v>0.33333333333333331</v>
      </c>
      <c r="BG174" s="1934">
        <f t="shared" si="85"/>
        <v>0.33333333333333331</v>
      </c>
      <c r="BH174" s="1934">
        <f t="shared" si="85"/>
        <v>0.33333333333333331</v>
      </c>
      <c r="BI174" s="1934">
        <f t="shared" si="85"/>
        <v>0.33333333333333331</v>
      </c>
      <c r="BJ174" s="1934">
        <f t="shared" si="85"/>
        <v>0.33333333333333331</v>
      </c>
      <c r="BK174" s="1935"/>
      <c r="BL174" s="1934"/>
      <c r="BM174" s="1934"/>
      <c r="BN174"/>
      <c r="BO174" s="1928">
        <v>2</v>
      </c>
      <c r="BP174" s="1933" t="s">
        <v>1305</v>
      </c>
      <c r="BQ174" s="1929" t="s">
        <v>3772</v>
      </c>
      <c r="BR174" s="1934">
        <f t="shared" si="86"/>
        <v>0.33333333333333331</v>
      </c>
      <c r="BS174" s="1934">
        <f t="shared" si="86"/>
        <v>0.33333333333333331</v>
      </c>
      <c r="BT174" s="1934">
        <f t="shared" si="86"/>
        <v>0.33333333333333331</v>
      </c>
      <c r="BU174" s="1934">
        <f t="shared" si="86"/>
        <v>0.33333333333333331</v>
      </c>
      <c r="BV174" s="1934">
        <f t="shared" si="86"/>
        <v>0.33333333333333331</v>
      </c>
      <c r="BW174" s="1934">
        <f t="shared" si="86"/>
        <v>0.33333333333333331</v>
      </c>
      <c r="BX174" s="1934">
        <f t="shared" si="86"/>
        <v>0.33333333333333331</v>
      </c>
      <c r="BY174" s="1934">
        <f t="shared" si="86"/>
        <v>0.33333333333333331</v>
      </c>
      <c r="BZ174" s="1934">
        <f t="shared" si="86"/>
        <v>0.33333333333333331</v>
      </c>
      <c r="CA174" s="1934">
        <f t="shared" si="86"/>
        <v>0.33333333333333331</v>
      </c>
      <c r="CB174" s="1935"/>
      <c r="CC174" s="1934"/>
      <c r="CD174" s="1934"/>
      <c r="CE174" s="2301"/>
      <c r="CF174"/>
      <c r="CG174" s="1928">
        <v>2</v>
      </c>
      <c r="CH174" s="1933" t="s">
        <v>1305</v>
      </c>
      <c r="CI174" s="1929" t="s">
        <v>530</v>
      </c>
      <c r="CJ174" s="2937">
        <f t="shared" si="68"/>
        <v>0.33333333333333331</v>
      </c>
      <c r="CK174" s="2937">
        <f t="shared" si="68"/>
        <v>0.33333333333333331</v>
      </c>
      <c r="CL174" s="2937">
        <f t="shared" si="68"/>
        <v>0.33333333333333331</v>
      </c>
      <c r="CM174" s="2937">
        <f t="shared" si="68"/>
        <v>0.33333333333333331</v>
      </c>
      <c r="CN174" s="2937">
        <f t="shared" si="68"/>
        <v>0.33333333333333331</v>
      </c>
      <c r="CO174" s="2937">
        <f t="shared" si="65"/>
        <v>0.33333333333333331</v>
      </c>
      <c r="CP174" s="2937">
        <f t="shared" si="65"/>
        <v>0.33333333333333331</v>
      </c>
      <c r="CQ174" s="2937">
        <f t="shared" si="65"/>
        <v>0.33333333333333331</v>
      </c>
      <c r="CR174" s="2937">
        <f t="shared" si="65"/>
        <v>0.33333333333333331</v>
      </c>
      <c r="CS174" s="2937">
        <f t="shared" si="65"/>
        <v>0.33333333333333331</v>
      </c>
      <c r="CT174" s="2939">
        <f t="shared" si="57"/>
        <v>0</v>
      </c>
      <c r="CU174" s="2937">
        <f t="shared" si="57"/>
        <v>0</v>
      </c>
      <c r="CV174" s="2937">
        <f t="shared" si="57"/>
        <v>0</v>
      </c>
      <c r="CW174" s="2445"/>
      <c r="CX174" s="1928">
        <v>2</v>
      </c>
      <c r="CY174" s="1933" t="s">
        <v>1305</v>
      </c>
      <c r="CZ174" s="1929" t="s">
        <v>530</v>
      </c>
      <c r="DA174" s="2974">
        <v>1</v>
      </c>
      <c r="DB174" s="2940"/>
      <c r="DC174" s="2940"/>
      <c r="DD174" s="2940"/>
      <c r="DE174" s="2940"/>
      <c r="DF174" s="2940"/>
      <c r="DG174" s="2940"/>
      <c r="DH174" s="2940"/>
      <c r="DI174" s="2940"/>
      <c r="DJ174" s="2940"/>
      <c r="DK174" s="2942"/>
      <c r="DL174" s="2940"/>
      <c r="DM174" s="2940"/>
    </row>
    <row r="175" spans="1:117">
      <c r="B175" s="1914" t="str">
        <f t="shared" si="73"/>
        <v>2.1</v>
      </c>
      <c r="C175" s="1941" t="str">
        <f t="shared" si="69"/>
        <v>大気汚染防止</v>
      </c>
      <c r="D175" s="1938">
        <f t="shared" ref="D175:E177" si="87">IF(I$174=0,0,G175/I$174)</f>
        <v>0.25</v>
      </c>
      <c r="E175" s="1938">
        <f t="shared" si="87"/>
        <v>0</v>
      </c>
      <c r="G175" s="1939">
        <f t="shared" si="70"/>
        <v>0.25</v>
      </c>
      <c r="H175" s="1939">
        <f t="shared" si="71"/>
        <v>0</v>
      </c>
      <c r="I175" s="1939"/>
      <c r="J175" s="1939"/>
      <c r="K175" s="1939">
        <f>IF(スコア!Q175=0,0,1)</f>
        <v>1</v>
      </c>
      <c r="L175" s="1939">
        <f>IF(スコア!T175=0,0,1)</f>
        <v>0</v>
      </c>
      <c r="M175" s="1939">
        <f t="shared" si="72"/>
        <v>0.25</v>
      </c>
      <c r="N175" s="1939">
        <f t="shared" si="78"/>
        <v>0</v>
      </c>
      <c r="P175" s="2032" t="str">
        <f t="shared" si="77"/>
        <v>2.1</v>
      </c>
      <c r="Q175" s="1944" t="str">
        <f t="shared" si="77"/>
        <v>LR3 2</v>
      </c>
      <c r="R175" s="1941" t="str">
        <f t="shared" si="77"/>
        <v>大気汚染防止</v>
      </c>
      <c r="S175" s="1947">
        <f t="shared" si="76"/>
        <v>0.25</v>
      </c>
      <c r="T175" s="1947">
        <f t="shared" si="76"/>
        <v>0.25</v>
      </c>
      <c r="U175" s="1947">
        <f t="shared" si="76"/>
        <v>0.25</v>
      </c>
      <c r="V175" s="1947">
        <f t="shared" si="76"/>
        <v>0.25</v>
      </c>
      <c r="W175" s="1947">
        <f t="shared" si="76"/>
        <v>0.25</v>
      </c>
      <c r="X175" s="1947">
        <f t="shared" si="83"/>
        <v>0.25</v>
      </c>
      <c r="Y175" s="1947">
        <f t="shared" si="83"/>
        <v>0.25</v>
      </c>
      <c r="Z175" s="1947">
        <f t="shared" si="83"/>
        <v>0.25</v>
      </c>
      <c r="AA175" s="1947">
        <f t="shared" si="83"/>
        <v>0.25</v>
      </c>
      <c r="AB175" s="1947">
        <f t="shared" si="83"/>
        <v>0.25</v>
      </c>
      <c r="AC175" s="1943">
        <f t="shared" si="75"/>
        <v>0</v>
      </c>
      <c r="AD175" s="1942">
        <f t="shared" si="75"/>
        <v>0</v>
      </c>
      <c r="AE175" s="1942">
        <f t="shared" si="75"/>
        <v>0</v>
      </c>
      <c r="AG175" s="2033" t="s">
        <v>1390</v>
      </c>
      <c r="AH175" s="1944" t="s">
        <v>2059</v>
      </c>
      <c r="AI175" s="1941" t="s">
        <v>531</v>
      </c>
      <c r="AJ175" s="1947">
        <v>0.25</v>
      </c>
      <c r="AK175" s="1947">
        <v>0.25</v>
      </c>
      <c r="AL175" s="1947">
        <v>0.25</v>
      </c>
      <c r="AM175" s="1947">
        <v>0.25</v>
      </c>
      <c r="AN175" s="1947">
        <v>0.25</v>
      </c>
      <c r="AO175" s="1947">
        <v>0.25</v>
      </c>
      <c r="AP175" s="1947">
        <v>0.25</v>
      </c>
      <c r="AQ175" s="1947">
        <v>0.25</v>
      </c>
      <c r="AR175" s="1947">
        <v>0.25</v>
      </c>
      <c r="AS175" s="1947">
        <v>0.25</v>
      </c>
      <c r="AT175" s="1948"/>
      <c r="AU175" s="1947"/>
      <c r="AV175" s="1947"/>
      <c r="AX175" s="2033" t="s">
        <v>1391</v>
      </c>
      <c r="AY175" s="1944" t="s">
        <v>2059</v>
      </c>
      <c r="AZ175" s="1941" t="s">
        <v>531</v>
      </c>
      <c r="BA175" s="1947">
        <v>0.25</v>
      </c>
      <c r="BB175" s="1947">
        <v>0.25</v>
      </c>
      <c r="BC175" s="1947">
        <v>0.25</v>
      </c>
      <c r="BD175" s="1947">
        <v>0.25</v>
      </c>
      <c r="BE175" s="1947">
        <v>0.25</v>
      </c>
      <c r="BF175" s="1947">
        <v>0.25</v>
      </c>
      <c r="BG175" s="1947">
        <v>0.25</v>
      </c>
      <c r="BH175" s="1947">
        <v>0.25</v>
      </c>
      <c r="BI175" s="1947">
        <v>0.25</v>
      </c>
      <c r="BJ175" s="1947">
        <v>0.25</v>
      </c>
      <c r="BK175" s="1948"/>
      <c r="BL175" s="1947"/>
      <c r="BM175" s="1947"/>
      <c r="BO175" s="2033" t="s">
        <v>3710</v>
      </c>
      <c r="BP175" s="1944" t="s">
        <v>2059</v>
      </c>
      <c r="BQ175" s="1941" t="s">
        <v>3773</v>
      </c>
      <c r="BR175" s="1947">
        <v>0.25</v>
      </c>
      <c r="BS175" s="1947">
        <v>0.25</v>
      </c>
      <c r="BT175" s="1947">
        <v>0.25</v>
      </c>
      <c r="BU175" s="1947">
        <v>0.25</v>
      </c>
      <c r="BV175" s="1947">
        <v>0.25</v>
      </c>
      <c r="BW175" s="1947">
        <v>0.25</v>
      </c>
      <c r="BX175" s="1947">
        <v>0.25</v>
      </c>
      <c r="BY175" s="1947">
        <v>0.25</v>
      </c>
      <c r="BZ175" s="1947">
        <v>0.25</v>
      </c>
      <c r="CA175" s="1947">
        <v>0.25</v>
      </c>
      <c r="CB175" s="1948"/>
      <c r="CC175" s="1947"/>
      <c r="CD175" s="1947"/>
      <c r="CE175" s="2302"/>
      <c r="CG175" s="2033" t="s">
        <v>3566</v>
      </c>
      <c r="CH175" s="1944" t="s">
        <v>2059</v>
      </c>
      <c r="CI175" s="1941" t="s">
        <v>531</v>
      </c>
      <c r="CJ175" s="2943">
        <f t="shared" si="68"/>
        <v>0.25</v>
      </c>
      <c r="CK175" s="2943">
        <f t="shared" si="68"/>
        <v>0.25</v>
      </c>
      <c r="CL175" s="2943">
        <f t="shared" si="68"/>
        <v>0.25</v>
      </c>
      <c r="CM175" s="2943">
        <f t="shared" si="68"/>
        <v>0.25</v>
      </c>
      <c r="CN175" s="2943">
        <f t="shared" si="68"/>
        <v>0.25</v>
      </c>
      <c r="CO175" s="2943">
        <f t="shared" si="65"/>
        <v>0.25</v>
      </c>
      <c r="CP175" s="2943">
        <f t="shared" si="65"/>
        <v>0.25</v>
      </c>
      <c r="CQ175" s="2943">
        <f t="shared" si="65"/>
        <v>0.25</v>
      </c>
      <c r="CR175" s="2943">
        <f t="shared" si="65"/>
        <v>0.25</v>
      </c>
      <c r="CS175" s="2943">
        <f t="shared" si="65"/>
        <v>0.25</v>
      </c>
      <c r="CT175" s="2947">
        <f t="shared" si="57"/>
        <v>0</v>
      </c>
      <c r="CU175" s="2943">
        <f t="shared" si="57"/>
        <v>0</v>
      </c>
      <c r="CV175" s="2943">
        <f t="shared" si="57"/>
        <v>0</v>
      </c>
      <c r="CW175" s="2445"/>
      <c r="CX175" s="2033" t="s">
        <v>3566</v>
      </c>
      <c r="CY175" s="1944" t="s">
        <v>2059</v>
      </c>
      <c r="CZ175" s="1941"/>
      <c r="DA175" s="2944">
        <v>0</v>
      </c>
      <c r="DB175" s="2945"/>
      <c r="DC175" s="2945"/>
      <c r="DD175" s="2945"/>
      <c r="DE175" s="2945"/>
      <c r="DF175" s="2945"/>
      <c r="DG175" s="2945"/>
      <c r="DH175" s="2945"/>
      <c r="DI175" s="2945"/>
      <c r="DJ175" s="2945"/>
      <c r="DK175" s="2949"/>
      <c r="DL175" s="2945"/>
      <c r="DM175" s="2945"/>
    </row>
    <row r="176" spans="1:117">
      <c r="B176" s="1914" t="str">
        <f t="shared" si="73"/>
        <v>2.2</v>
      </c>
      <c r="C176" s="1941" t="str">
        <f t="shared" si="69"/>
        <v>温熱環境悪化の改善</v>
      </c>
      <c r="D176" s="1938">
        <f t="shared" si="87"/>
        <v>0.5</v>
      </c>
      <c r="E176" s="1938">
        <f t="shared" si="87"/>
        <v>0</v>
      </c>
      <c r="G176" s="1939">
        <f t="shared" si="70"/>
        <v>0.5</v>
      </c>
      <c r="H176" s="1939">
        <f t="shared" si="71"/>
        <v>0</v>
      </c>
      <c r="I176" s="1939"/>
      <c r="J176" s="1939"/>
      <c r="K176" s="1939">
        <f>IF(スコア!Q176=0,0,1)</f>
        <v>1</v>
      </c>
      <c r="L176" s="1939">
        <f>IF(スコア!T176=0,0,1)</f>
        <v>0</v>
      </c>
      <c r="M176" s="1939">
        <f t="shared" si="72"/>
        <v>0.5</v>
      </c>
      <c r="N176" s="1939">
        <f t="shared" si="78"/>
        <v>0</v>
      </c>
      <c r="P176" s="2032" t="str">
        <f t="shared" si="77"/>
        <v>2.2</v>
      </c>
      <c r="Q176" s="1944" t="str">
        <f t="shared" si="77"/>
        <v>LR3 2</v>
      </c>
      <c r="R176" s="1941" t="str">
        <f t="shared" si="77"/>
        <v>温熱環境悪化の改善</v>
      </c>
      <c r="S176" s="2002">
        <f t="shared" si="76"/>
        <v>0.5</v>
      </c>
      <c r="T176" s="2002">
        <f t="shared" si="76"/>
        <v>0.5</v>
      </c>
      <c r="U176" s="2002">
        <f t="shared" si="76"/>
        <v>0.5</v>
      </c>
      <c r="V176" s="2002">
        <f t="shared" si="76"/>
        <v>0.5</v>
      </c>
      <c r="W176" s="2002">
        <f t="shared" si="76"/>
        <v>0.5</v>
      </c>
      <c r="X176" s="2002">
        <f t="shared" si="83"/>
        <v>0.5</v>
      </c>
      <c r="Y176" s="2002">
        <f t="shared" si="83"/>
        <v>0.5</v>
      </c>
      <c r="Z176" s="2002">
        <f t="shared" si="83"/>
        <v>0.5</v>
      </c>
      <c r="AA176" s="2002">
        <f t="shared" si="83"/>
        <v>0.5</v>
      </c>
      <c r="AB176" s="2002">
        <f t="shared" si="83"/>
        <v>0.5</v>
      </c>
      <c r="AC176" s="2001">
        <f t="shared" si="75"/>
        <v>0</v>
      </c>
      <c r="AD176" s="2000">
        <f t="shared" si="75"/>
        <v>0</v>
      </c>
      <c r="AE176" s="2000">
        <f t="shared" si="75"/>
        <v>0</v>
      </c>
      <c r="AG176" s="2033" t="s">
        <v>1392</v>
      </c>
      <c r="AH176" s="1944" t="s">
        <v>2059</v>
      </c>
      <c r="AI176" s="1941" t="s">
        <v>1587</v>
      </c>
      <c r="AJ176" s="2002">
        <v>0.5</v>
      </c>
      <c r="AK176" s="2002">
        <v>0.5</v>
      </c>
      <c r="AL176" s="2002">
        <v>0.5</v>
      </c>
      <c r="AM176" s="2002">
        <v>0.5</v>
      </c>
      <c r="AN176" s="2002">
        <v>0.5</v>
      </c>
      <c r="AO176" s="2002">
        <v>0.5</v>
      </c>
      <c r="AP176" s="2002">
        <v>0.5</v>
      </c>
      <c r="AQ176" s="2002">
        <v>0.5</v>
      </c>
      <c r="AR176" s="2002">
        <v>0.5</v>
      </c>
      <c r="AS176" s="2002">
        <v>0.5</v>
      </c>
      <c r="AT176" s="2003"/>
      <c r="AU176" s="2002"/>
      <c r="AV176" s="2002"/>
      <c r="AX176" s="2033" t="s">
        <v>1392</v>
      </c>
      <c r="AY176" s="1944" t="s">
        <v>2059</v>
      </c>
      <c r="AZ176" s="1941" t="s">
        <v>1587</v>
      </c>
      <c r="BA176" s="2002">
        <v>0.5</v>
      </c>
      <c r="BB176" s="2002">
        <v>0.5</v>
      </c>
      <c r="BC176" s="2002">
        <v>0.5</v>
      </c>
      <c r="BD176" s="2002">
        <v>0.5</v>
      </c>
      <c r="BE176" s="2002">
        <v>0.5</v>
      </c>
      <c r="BF176" s="2002">
        <v>0.5</v>
      </c>
      <c r="BG176" s="2002">
        <v>0.5</v>
      </c>
      <c r="BH176" s="2002">
        <v>0.5</v>
      </c>
      <c r="BI176" s="2002">
        <v>0.5</v>
      </c>
      <c r="BJ176" s="2002">
        <v>0.5</v>
      </c>
      <c r="BK176" s="2003"/>
      <c r="BL176" s="2002"/>
      <c r="BM176" s="2002"/>
      <c r="BO176" s="2033" t="s">
        <v>3711</v>
      </c>
      <c r="BP176" s="1944" t="s">
        <v>2059</v>
      </c>
      <c r="BQ176" s="1941" t="s">
        <v>3663</v>
      </c>
      <c r="BR176" s="2002">
        <v>0.5</v>
      </c>
      <c r="BS176" s="2002">
        <v>0.5</v>
      </c>
      <c r="BT176" s="2002">
        <v>0.5</v>
      </c>
      <c r="BU176" s="2002">
        <v>0.5</v>
      </c>
      <c r="BV176" s="2002">
        <v>0.5</v>
      </c>
      <c r="BW176" s="2002">
        <v>0.5</v>
      </c>
      <c r="BX176" s="2002">
        <v>0.5</v>
      </c>
      <c r="BY176" s="2002">
        <v>0.5</v>
      </c>
      <c r="BZ176" s="2002">
        <v>0.5</v>
      </c>
      <c r="CA176" s="2002">
        <v>0.5</v>
      </c>
      <c r="CB176" s="2003"/>
      <c r="CC176" s="2002"/>
      <c r="CD176" s="2002"/>
      <c r="CE176" s="2305"/>
      <c r="CG176" s="2033" t="s">
        <v>3567</v>
      </c>
      <c r="CH176" s="1944" t="s">
        <v>2059</v>
      </c>
      <c r="CI176" s="1941" t="s">
        <v>3625</v>
      </c>
      <c r="CJ176" s="2979">
        <f t="shared" si="68"/>
        <v>0.5</v>
      </c>
      <c r="CK176" s="2979">
        <f t="shared" si="68"/>
        <v>0.5</v>
      </c>
      <c r="CL176" s="2979">
        <f t="shared" si="68"/>
        <v>0.5</v>
      </c>
      <c r="CM176" s="2979">
        <f t="shared" si="68"/>
        <v>0.5</v>
      </c>
      <c r="CN176" s="2979">
        <f t="shared" si="68"/>
        <v>0.5</v>
      </c>
      <c r="CO176" s="2979">
        <f t="shared" si="65"/>
        <v>0.5</v>
      </c>
      <c r="CP176" s="2979">
        <f t="shared" si="65"/>
        <v>0.5</v>
      </c>
      <c r="CQ176" s="2979">
        <f t="shared" si="65"/>
        <v>0.5</v>
      </c>
      <c r="CR176" s="2979">
        <f t="shared" si="65"/>
        <v>0.5</v>
      </c>
      <c r="CS176" s="2979">
        <f t="shared" si="65"/>
        <v>0.5</v>
      </c>
      <c r="CT176" s="2980">
        <f t="shared" si="57"/>
        <v>0</v>
      </c>
      <c r="CU176" s="2979">
        <f t="shared" si="57"/>
        <v>0</v>
      </c>
      <c r="CV176" s="2979">
        <f t="shared" si="57"/>
        <v>0</v>
      </c>
      <c r="CW176" s="2445"/>
      <c r="CX176" s="2033" t="s">
        <v>3567</v>
      </c>
      <c r="CY176" s="1944" t="s">
        <v>2059</v>
      </c>
      <c r="CZ176" s="1941"/>
      <c r="DA176" s="2944">
        <v>0</v>
      </c>
      <c r="DB176" s="2982"/>
      <c r="DC176" s="2982"/>
      <c r="DD176" s="2982"/>
      <c r="DE176" s="2982"/>
      <c r="DF176" s="2982"/>
      <c r="DG176" s="2982"/>
      <c r="DH176" s="2982"/>
      <c r="DI176" s="2982"/>
      <c r="DJ176" s="2982"/>
      <c r="DK176" s="2983"/>
      <c r="DL176" s="2982"/>
      <c r="DM176" s="2982"/>
    </row>
    <row r="177" spans="1:117">
      <c r="B177" s="1914" t="str">
        <f t="shared" si="73"/>
        <v>2.3</v>
      </c>
      <c r="C177" s="1941" t="str">
        <f t="shared" si="69"/>
        <v>地域インフラへの負荷抑制</v>
      </c>
      <c r="D177" s="1938">
        <f t="shared" si="87"/>
        <v>0.25</v>
      </c>
      <c r="E177" s="1938">
        <f t="shared" si="87"/>
        <v>0</v>
      </c>
      <c r="G177" s="1939">
        <f t="shared" si="70"/>
        <v>0.25</v>
      </c>
      <c r="H177" s="1939">
        <f t="shared" si="71"/>
        <v>0</v>
      </c>
      <c r="I177" s="1939">
        <f>SUM(G178:G181)</f>
        <v>1</v>
      </c>
      <c r="J177" s="1939">
        <f>SUM(H178:H181)</f>
        <v>0</v>
      </c>
      <c r="K177" s="1939">
        <f>IF(スコア!Q177=0,0,1)</f>
        <v>1</v>
      </c>
      <c r="L177" s="1939">
        <f>IF(スコア!T177=0,0,1)</f>
        <v>0</v>
      </c>
      <c r="M177" s="1939">
        <f t="shared" si="72"/>
        <v>0.25</v>
      </c>
      <c r="N177" s="1939">
        <f t="shared" si="78"/>
        <v>0</v>
      </c>
      <c r="P177" s="2032" t="str">
        <f t="shared" si="77"/>
        <v>2.3</v>
      </c>
      <c r="Q177" s="1944" t="str">
        <f t="shared" si="77"/>
        <v>LR3 2</v>
      </c>
      <c r="R177" s="1941" t="str">
        <f t="shared" si="77"/>
        <v>地域インフラへの負荷抑制</v>
      </c>
      <c r="S177" s="2002">
        <f t="shared" si="76"/>
        <v>0.25</v>
      </c>
      <c r="T177" s="2002">
        <f t="shared" si="76"/>
        <v>0.25</v>
      </c>
      <c r="U177" s="2002">
        <f t="shared" si="76"/>
        <v>0.25</v>
      </c>
      <c r="V177" s="2002">
        <f t="shared" si="76"/>
        <v>0.25</v>
      </c>
      <c r="W177" s="2002">
        <f t="shared" si="76"/>
        <v>0.25</v>
      </c>
      <c r="X177" s="2002">
        <f t="shared" si="83"/>
        <v>0.25</v>
      </c>
      <c r="Y177" s="2002">
        <f t="shared" si="83"/>
        <v>0.25</v>
      </c>
      <c r="Z177" s="2002">
        <f t="shared" si="83"/>
        <v>0.25</v>
      </c>
      <c r="AA177" s="2002">
        <f t="shared" si="83"/>
        <v>0.25</v>
      </c>
      <c r="AB177" s="2002">
        <f t="shared" si="83"/>
        <v>0.25</v>
      </c>
      <c r="AC177" s="2001">
        <f t="shared" si="75"/>
        <v>0</v>
      </c>
      <c r="AD177" s="2000">
        <f t="shared" si="75"/>
        <v>0</v>
      </c>
      <c r="AE177" s="2000">
        <f t="shared" si="75"/>
        <v>0</v>
      </c>
      <c r="AG177" s="2033" t="s">
        <v>1393</v>
      </c>
      <c r="AH177" s="1944" t="s">
        <v>2059</v>
      </c>
      <c r="AI177" s="1941" t="s">
        <v>532</v>
      </c>
      <c r="AJ177" s="2002">
        <v>0.25</v>
      </c>
      <c r="AK177" s="2002">
        <v>0.25</v>
      </c>
      <c r="AL177" s="2002">
        <v>0.25</v>
      </c>
      <c r="AM177" s="2002">
        <v>0.25</v>
      </c>
      <c r="AN177" s="2002">
        <v>0.25</v>
      </c>
      <c r="AO177" s="2002">
        <v>0.25</v>
      </c>
      <c r="AP177" s="2002">
        <v>0.25</v>
      </c>
      <c r="AQ177" s="2002">
        <v>0.25</v>
      </c>
      <c r="AR177" s="2002">
        <v>0.25</v>
      </c>
      <c r="AS177" s="2002">
        <v>0.25</v>
      </c>
      <c r="AT177" s="2003"/>
      <c r="AU177" s="2002"/>
      <c r="AV177" s="2002"/>
      <c r="AX177" s="2033" t="s">
        <v>1394</v>
      </c>
      <c r="AY177" s="1944" t="s">
        <v>2059</v>
      </c>
      <c r="AZ177" s="1941" t="s">
        <v>532</v>
      </c>
      <c r="BA177" s="2002">
        <v>0.25</v>
      </c>
      <c r="BB177" s="2002">
        <v>0.25</v>
      </c>
      <c r="BC177" s="2002">
        <v>0.25</v>
      </c>
      <c r="BD177" s="2002">
        <v>0.25</v>
      </c>
      <c r="BE177" s="2002">
        <v>0.25</v>
      </c>
      <c r="BF177" s="2002">
        <v>0.25</v>
      </c>
      <c r="BG177" s="2002">
        <v>0.25</v>
      </c>
      <c r="BH177" s="2002">
        <v>0.25</v>
      </c>
      <c r="BI177" s="2002">
        <v>0.25</v>
      </c>
      <c r="BJ177" s="2002">
        <v>0.25</v>
      </c>
      <c r="BK177" s="2003"/>
      <c r="BL177" s="2002"/>
      <c r="BM177" s="2002"/>
      <c r="BO177" s="2033" t="s">
        <v>3718</v>
      </c>
      <c r="BP177" s="1944" t="s">
        <v>2059</v>
      </c>
      <c r="BQ177" s="1941" t="s">
        <v>3774</v>
      </c>
      <c r="BR177" s="2002">
        <v>0.25</v>
      </c>
      <c r="BS177" s="2002">
        <v>0.25</v>
      </c>
      <c r="BT177" s="2002">
        <v>0.25</v>
      </c>
      <c r="BU177" s="2002">
        <v>0.25</v>
      </c>
      <c r="BV177" s="2002">
        <v>0.25</v>
      </c>
      <c r="BW177" s="2002">
        <v>0.25</v>
      </c>
      <c r="BX177" s="2002">
        <v>0.25</v>
      </c>
      <c r="BY177" s="2002">
        <v>0.25</v>
      </c>
      <c r="BZ177" s="2002">
        <v>0.25</v>
      </c>
      <c r="CA177" s="2002">
        <v>0.25</v>
      </c>
      <c r="CB177" s="2003"/>
      <c r="CC177" s="2002"/>
      <c r="CD177" s="2002"/>
      <c r="CE177" s="2305"/>
      <c r="CG177" s="2033" t="s">
        <v>3626</v>
      </c>
      <c r="CH177" s="1944" t="s">
        <v>2059</v>
      </c>
      <c r="CI177" s="1941" t="s">
        <v>532</v>
      </c>
      <c r="CJ177" s="2979">
        <f t="shared" si="68"/>
        <v>0.25</v>
      </c>
      <c r="CK177" s="2979">
        <f t="shared" si="68"/>
        <v>0.25</v>
      </c>
      <c r="CL177" s="2979">
        <f t="shared" si="68"/>
        <v>0.25</v>
      </c>
      <c r="CM177" s="2979">
        <f t="shared" si="68"/>
        <v>0.25</v>
      </c>
      <c r="CN177" s="2979">
        <f t="shared" si="68"/>
        <v>0.25</v>
      </c>
      <c r="CO177" s="2979">
        <f t="shared" si="65"/>
        <v>0.25</v>
      </c>
      <c r="CP177" s="2979">
        <f t="shared" si="65"/>
        <v>0.25</v>
      </c>
      <c r="CQ177" s="2979">
        <f t="shared" si="65"/>
        <v>0.25</v>
      </c>
      <c r="CR177" s="2979">
        <f t="shared" si="65"/>
        <v>0.25</v>
      </c>
      <c r="CS177" s="2979">
        <f t="shared" si="65"/>
        <v>0.25</v>
      </c>
      <c r="CT177" s="2980">
        <f t="shared" si="57"/>
        <v>0</v>
      </c>
      <c r="CU177" s="2979">
        <f t="shared" si="57"/>
        <v>0</v>
      </c>
      <c r="CV177" s="2979">
        <f t="shared" si="57"/>
        <v>0</v>
      </c>
      <c r="CW177" s="2445"/>
      <c r="CX177" s="2033" t="s">
        <v>3626</v>
      </c>
      <c r="CY177" s="1944" t="s">
        <v>2059</v>
      </c>
      <c r="CZ177" s="1941"/>
      <c r="DA177" s="2944">
        <v>0</v>
      </c>
      <c r="DB177" s="2982"/>
      <c r="DC177" s="2982"/>
      <c r="DD177" s="2982"/>
      <c r="DE177" s="2982"/>
      <c r="DF177" s="2982"/>
      <c r="DG177" s="2982"/>
      <c r="DH177" s="2982"/>
      <c r="DI177" s="2982"/>
      <c r="DJ177" s="2982"/>
      <c r="DK177" s="2983"/>
      <c r="DL177" s="2982"/>
      <c r="DM177" s="2982"/>
    </row>
    <row r="178" spans="1:117">
      <c r="B178" s="1914" t="str">
        <f t="shared" si="73"/>
        <v>2.3.1</v>
      </c>
      <c r="C178" s="2034" t="str">
        <f t="shared" si="69"/>
        <v>雨水排水負荷低減</v>
      </c>
      <c r="D178" s="1938">
        <f t="shared" ref="D178:E181" si="88">IF(I$177=0,0,G178/I$177)</f>
        <v>0.25</v>
      </c>
      <c r="E178" s="1938">
        <f t="shared" si="88"/>
        <v>0</v>
      </c>
      <c r="G178" s="1939">
        <f t="shared" si="70"/>
        <v>0.25</v>
      </c>
      <c r="H178" s="1939">
        <f t="shared" si="71"/>
        <v>0</v>
      </c>
      <c r="I178" s="1939"/>
      <c r="J178" s="1939"/>
      <c r="K178" s="1939">
        <f>IF(スコア!Q178=0,0,1)</f>
        <v>1</v>
      </c>
      <c r="L178" s="1939">
        <f>IF(スコア!T178=0,0,1)</f>
        <v>0</v>
      </c>
      <c r="M178" s="1939">
        <f t="shared" si="72"/>
        <v>0.25</v>
      </c>
      <c r="N178" s="1939">
        <f t="shared" si="78"/>
        <v>0</v>
      </c>
      <c r="P178" s="2033" t="str">
        <f t="shared" si="77"/>
        <v>2.3.1</v>
      </c>
      <c r="Q178" s="1944" t="str">
        <f t="shared" si="77"/>
        <v>LR3 2.3</v>
      </c>
      <c r="R178" s="2034" t="str">
        <f t="shared" si="77"/>
        <v>雨水排水負荷低減</v>
      </c>
      <c r="S178" s="1947">
        <f t="shared" si="76"/>
        <v>0.25</v>
      </c>
      <c r="T178" s="1947">
        <f t="shared" si="76"/>
        <v>0.25</v>
      </c>
      <c r="U178" s="1947">
        <f t="shared" si="76"/>
        <v>0.25</v>
      </c>
      <c r="V178" s="1947">
        <f t="shared" si="76"/>
        <v>0.25</v>
      </c>
      <c r="W178" s="1947">
        <f t="shared" si="76"/>
        <v>0.25</v>
      </c>
      <c r="X178" s="1947">
        <f t="shared" si="83"/>
        <v>0.25</v>
      </c>
      <c r="Y178" s="1947">
        <f t="shared" si="83"/>
        <v>0.25</v>
      </c>
      <c r="Z178" s="1947">
        <f t="shared" si="83"/>
        <v>0.25</v>
      </c>
      <c r="AA178" s="1947">
        <f t="shared" si="83"/>
        <v>0.25</v>
      </c>
      <c r="AB178" s="1947">
        <f t="shared" si="83"/>
        <v>0.25</v>
      </c>
      <c r="AC178" s="2001">
        <f t="shared" si="75"/>
        <v>0</v>
      </c>
      <c r="AD178" s="2000">
        <f t="shared" si="75"/>
        <v>0</v>
      </c>
      <c r="AE178" s="2000">
        <f t="shared" si="75"/>
        <v>0</v>
      </c>
      <c r="AG178" s="2033" t="s">
        <v>1395</v>
      </c>
      <c r="AH178" s="1944" t="s">
        <v>2060</v>
      </c>
      <c r="AI178" s="2034" t="s">
        <v>1588</v>
      </c>
      <c r="AJ178" s="1947">
        <v>0.25</v>
      </c>
      <c r="AK178" s="1947">
        <v>0.25</v>
      </c>
      <c r="AL178" s="1947">
        <v>0.25</v>
      </c>
      <c r="AM178" s="1947">
        <v>0.25</v>
      </c>
      <c r="AN178" s="1947">
        <v>0.25</v>
      </c>
      <c r="AO178" s="1947">
        <v>0.25</v>
      </c>
      <c r="AP178" s="1947">
        <v>0.25</v>
      </c>
      <c r="AQ178" s="1947">
        <v>0.25</v>
      </c>
      <c r="AR178" s="1947">
        <v>0.25</v>
      </c>
      <c r="AS178" s="1947">
        <v>0.25</v>
      </c>
      <c r="AT178" s="2003"/>
      <c r="AU178" s="2002"/>
      <c r="AV178" s="2002"/>
      <c r="AX178" s="2033" t="s">
        <v>1395</v>
      </c>
      <c r="AY178" s="1944" t="s">
        <v>2060</v>
      </c>
      <c r="AZ178" s="2034" t="s">
        <v>1588</v>
      </c>
      <c r="BA178" s="1947">
        <v>0.25</v>
      </c>
      <c r="BB178" s="1947">
        <v>0.25</v>
      </c>
      <c r="BC178" s="1947">
        <v>0.25</v>
      </c>
      <c r="BD178" s="1947">
        <v>0.25</v>
      </c>
      <c r="BE178" s="1947">
        <v>0.25</v>
      </c>
      <c r="BF178" s="1947">
        <v>0.25</v>
      </c>
      <c r="BG178" s="1947">
        <v>0.25</v>
      </c>
      <c r="BH178" s="1947">
        <v>0.25</v>
      </c>
      <c r="BI178" s="1947">
        <v>0.25</v>
      </c>
      <c r="BJ178" s="1947">
        <v>0.25</v>
      </c>
      <c r="BK178" s="2003"/>
      <c r="BL178" s="2002"/>
      <c r="BM178" s="2002"/>
      <c r="BO178" s="2033" t="s">
        <v>3673</v>
      </c>
      <c r="BP178" s="1944" t="s">
        <v>2060</v>
      </c>
      <c r="BQ178" s="2034" t="s">
        <v>3664</v>
      </c>
      <c r="BR178" s="1947">
        <v>0.25</v>
      </c>
      <c r="BS178" s="1947">
        <v>0.25</v>
      </c>
      <c r="BT178" s="1947">
        <v>0.25</v>
      </c>
      <c r="BU178" s="1947">
        <v>0.25</v>
      </c>
      <c r="BV178" s="1947">
        <v>0.25</v>
      </c>
      <c r="BW178" s="1947">
        <v>0.25</v>
      </c>
      <c r="BX178" s="1947">
        <v>0.25</v>
      </c>
      <c r="BY178" s="1947">
        <v>0.25</v>
      </c>
      <c r="BZ178" s="1947">
        <v>0.25</v>
      </c>
      <c r="CA178" s="1947">
        <v>0.25</v>
      </c>
      <c r="CB178" s="2003"/>
      <c r="CC178" s="2002"/>
      <c r="CD178" s="2002"/>
      <c r="CE178" s="2305"/>
      <c r="CG178" s="2033" t="s">
        <v>3627</v>
      </c>
      <c r="CH178" s="1944" t="s">
        <v>2060</v>
      </c>
      <c r="CI178" s="2034" t="s">
        <v>3628</v>
      </c>
      <c r="CJ178" s="2943">
        <f t="shared" si="68"/>
        <v>0.25</v>
      </c>
      <c r="CK178" s="2943">
        <f t="shared" si="68"/>
        <v>0.25</v>
      </c>
      <c r="CL178" s="2943">
        <f t="shared" si="68"/>
        <v>0.25</v>
      </c>
      <c r="CM178" s="2943">
        <f t="shared" si="68"/>
        <v>0.25</v>
      </c>
      <c r="CN178" s="2943">
        <f t="shared" si="68"/>
        <v>0.25</v>
      </c>
      <c r="CO178" s="2943">
        <f t="shared" si="65"/>
        <v>0.25</v>
      </c>
      <c r="CP178" s="2943">
        <f t="shared" si="65"/>
        <v>0.25</v>
      </c>
      <c r="CQ178" s="2943">
        <f t="shared" si="65"/>
        <v>0.25</v>
      </c>
      <c r="CR178" s="2943">
        <f t="shared" si="65"/>
        <v>0.25</v>
      </c>
      <c r="CS178" s="2943">
        <f t="shared" si="65"/>
        <v>0.25</v>
      </c>
      <c r="CT178" s="2980">
        <f t="shared" si="65"/>
        <v>0</v>
      </c>
      <c r="CU178" s="2979">
        <f t="shared" si="65"/>
        <v>0</v>
      </c>
      <c r="CV178" s="2979">
        <f t="shared" si="65"/>
        <v>0</v>
      </c>
      <c r="CW178" s="2445"/>
      <c r="CX178" s="2033" t="s">
        <v>3627</v>
      </c>
      <c r="CY178" s="1944" t="s">
        <v>2060</v>
      </c>
      <c r="CZ178" s="2034"/>
      <c r="DA178" s="2944">
        <v>0</v>
      </c>
      <c r="DB178" s="2945"/>
      <c r="DC178" s="2945"/>
      <c r="DD178" s="2945"/>
      <c r="DE178" s="2945"/>
      <c r="DF178" s="2945"/>
      <c r="DG178" s="2945"/>
      <c r="DH178" s="2945"/>
      <c r="DI178" s="2945"/>
      <c r="DJ178" s="2945"/>
      <c r="DK178" s="2983"/>
      <c r="DL178" s="2982"/>
      <c r="DM178" s="2982"/>
    </row>
    <row r="179" spans="1:117">
      <c r="B179" s="1914" t="str">
        <f t="shared" si="73"/>
        <v>2.3.2</v>
      </c>
      <c r="C179" s="2034" t="str">
        <f t="shared" si="69"/>
        <v>汚水処理負荷抑制</v>
      </c>
      <c r="D179" s="1938">
        <f t="shared" si="88"/>
        <v>0.25</v>
      </c>
      <c r="E179" s="1938">
        <f t="shared" si="88"/>
        <v>0</v>
      </c>
      <c r="G179" s="1939">
        <f t="shared" si="70"/>
        <v>0.25</v>
      </c>
      <c r="H179" s="1939">
        <f t="shared" si="71"/>
        <v>0</v>
      </c>
      <c r="I179" s="1939"/>
      <c r="J179" s="1939"/>
      <c r="K179" s="1939">
        <f>IF(スコア!Q179=0,0,1)</f>
        <v>1</v>
      </c>
      <c r="L179" s="1939">
        <f>IF(スコア!T179=0,0,1)</f>
        <v>0</v>
      </c>
      <c r="M179" s="1939">
        <f t="shared" si="72"/>
        <v>0.25</v>
      </c>
      <c r="N179" s="1939">
        <f t="shared" si="78"/>
        <v>0</v>
      </c>
      <c r="P179" s="2033" t="str">
        <f t="shared" si="77"/>
        <v>2.3.2</v>
      </c>
      <c r="Q179" s="1944" t="str">
        <f t="shared" si="77"/>
        <v>LR3 2.3</v>
      </c>
      <c r="R179" s="2034" t="str">
        <f t="shared" si="77"/>
        <v>汚水処理負荷抑制</v>
      </c>
      <c r="S179" s="1947">
        <f t="shared" si="76"/>
        <v>0.25</v>
      </c>
      <c r="T179" s="1947">
        <f t="shared" si="76"/>
        <v>0.25</v>
      </c>
      <c r="U179" s="1947">
        <f t="shared" si="76"/>
        <v>0.25</v>
      </c>
      <c r="V179" s="1947">
        <f t="shared" si="76"/>
        <v>0.25</v>
      </c>
      <c r="W179" s="1947">
        <f t="shared" si="76"/>
        <v>0.25</v>
      </c>
      <c r="X179" s="1947">
        <f t="shared" si="83"/>
        <v>0.25</v>
      </c>
      <c r="Y179" s="1947">
        <f t="shared" si="83"/>
        <v>0.25</v>
      </c>
      <c r="Z179" s="1947">
        <f t="shared" si="83"/>
        <v>0.25</v>
      </c>
      <c r="AA179" s="1947">
        <f t="shared" si="83"/>
        <v>0.25</v>
      </c>
      <c r="AB179" s="1947">
        <f t="shared" si="83"/>
        <v>0.25</v>
      </c>
      <c r="AC179" s="2001">
        <f t="shared" si="75"/>
        <v>0</v>
      </c>
      <c r="AD179" s="2000">
        <f t="shared" si="75"/>
        <v>0</v>
      </c>
      <c r="AE179" s="2000">
        <f t="shared" si="75"/>
        <v>0</v>
      </c>
      <c r="AG179" s="2033" t="s">
        <v>1396</v>
      </c>
      <c r="AH179" s="1944" t="s">
        <v>2060</v>
      </c>
      <c r="AI179" s="2034" t="s">
        <v>1589</v>
      </c>
      <c r="AJ179" s="1947">
        <v>0.25</v>
      </c>
      <c r="AK179" s="1947">
        <v>0.25</v>
      </c>
      <c r="AL179" s="1947">
        <v>0.25</v>
      </c>
      <c r="AM179" s="1947">
        <v>0.25</v>
      </c>
      <c r="AN179" s="1947">
        <v>0.25</v>
      </c>
      <c r="AO179" s="1947">
        <v>0.25</v>
      </c>
      <c r="AP179" s="1947">
        <v>0.25</v>
      </c>
      <c r="AQ179" s="1947">
        <v>0.25</v>
      </c>
      <c r="AR179" s="1947">
        <v>0.25</v>
      </c>
      <c r="AS179" s="1947">
        <v>0.25</v>
      </c>
      <c r="AT179" s="2003"/>
      <c r="AU179" s="2002"/>
      <c r="AV179" s="2002"/>
      <c r="AX179" s="2033" t="s">
        <v>1396</v>
      </c>
      <c r="AY179" s="1944" t="s">
        <v>2060</v>
      </c>
      <c r="AZ179" s="2034" t="s">
        <v>1589</v>
      </c>
      <c r="BA179" s="1947">
        <v>0.25</v>
      </c>
      <c r="BB179" s="1947">
        <v>0.25</v>
      </c>
      <c r="BC179" s="1947">
        <v>0.25</v>
      </c>
      <c r="BD179" s="1947">
        <v>0.25</v>
      </c>
      <c r="BE179" s="1947">
        <v>0.25</v>
      </c>
      <c r="BF179" s="1947">
        <v>0.25</v>
      </c>
      <c r="BG179" s="1947">
        <v>0.25</v>
      </c>
      <c r="BH179" s="1947">
        <v>0.25</v>
      </c>
      <c r="BI179" s="1947">
        <v>0.25</v>
      </c>
      <c r="BJ179" s="1947">
        <v>0.25</v>
      </c>
      <c r="BK179" s="2003"/>
      <c r="BL179" s="2002"/>
      <c r="BM179" s="2002"/>
      <c r="BO179" s="2033" t="s">
        <v>3674</v>
      </c>
      <c r="BP179" s="1944" t="s">
        <v>2060</v>
      </c>
      <c r="BQ179" s="2034" t="s">
        <v>3665</v>
      </c>
      <c r="BR179" s="1947">
        <v>0.25</v>
      </c>
      <c r="BS179" s="1947">
        <v>0.25</v>
      </c>
      <c r="BT179" s="1947">
        <v>0.25</v>
      </c>
      <c r="BU179" s="1947">
        <v>0.25</v>
      </c>
      <c r="BV179" s="1947">
        <v>0.25</v>
      </c>
      <c r="BW179" s="1947">
        <v>0.25</v>
      </c>
      <c r="BX179" s="1947">
        <v>0.25</v>
      </c>
      <c r="BY179" s="1947">
        <v>0.25</v>
      </c>
      <c r="BZ179" s="1947">
        <v>0.25</v>
      </c>
      <c r="CA179" s="1947">
        <v>0.25</v>
      </c>
      <c r="CB179" s="2003"/>
      <c r="CC179" s="2002"/>
      <c r="CD179" s="2002"/>
      <c r="CE179" s="2305"/>
      <c r="CG179" s="2033" t="s">
        <v>3629</v>
      </c>
      <c r="CH179" s="1944" t="s">
        <v>2060</v>
      </c>
      <c r="CI179" s="2034" t="s">
        <v>3630</v>
      </c>
      <c r="CJ179" s="2943">
        <f t="shared" si="68"/>
        <v>0.25</v>
      </c>
      <c r="CK179" s="2943">
        <f t="shared" si="68"/>
        <v>0.25</v>
      </c>
      <c r="CL179" s="2943">
        <f t="shared" si="68"/>
        <v>0.25</v>
      </c>
      <c r="CM179" s="2943">
        <f t="shared" si="68"/>
        <v>0.25</v>
      </c>
      <c r="CN179" s="2943">
        <f t="shared" si="68"/>
        <v>0.25</v>
      </c>
      <c r="CO179" s="2943">
        <f t="shared" si="65"/>
        <v>0.25</v>
      </c>
      <c r="CP179" s="2943">
        <f t="shared" si="65"/>
        <v>0.25</v>
      </c>
      <c r="CQ179" s="2943">
        <f t="shared" si="65"/>
        <v>0.25</v>
      </c>
      <c r="CR179" s="2943">
        <f t="shared" si="65"/>
        <v>0.25</v>
      </c>
      <c r="CS179" s="2943">
        <f t="shared" si="65"/>
        <v>0.25</v>
      </c>
      <c r="CT179" s="2980">
        <f t="shared" si="65"/>
        <v>0</v>
      </c>
      <c r="CU179" s="2979">
        <f t="shared" si="65"/>
        <v>0</v>
      </c>
      <c r="CV179" s="2979">
        <f t="shared" si="65"/>
        <v>0</v>
      </c>
      <c r="CW179" s="2445"/>
      <c r="CX179" s="2033" t="s">
        <v>3629</v>
      </c>
      <c r="CY179" s="1944" t="s">
        <v>2060</v>
      </c>
      <c r="CZ179" s="2034"/>
      <c r="DA179" s="2944">
        <v>0</v>
      </c>
      <c r="DB179" s="2945"/>
      <c r="DC179" s="2945"/>
      <c r="DD179" s="2945"/>
      <c r="DE179" s="2945"/>
      <c r="DF179" s="2945"/>
      <c r="DG179" s="2945"/>
      <c r="DH179" s="2945"/>
      <c r="DI179" s="2945"/>
      <c r="DJ179" s="2945"/>
      <c r="DK179" s="2983"/>
      <c r="DL179" s="2982"/>
      <c r="DM179" s="2982"/>
    </row>
    <row r="180" spans="1:117">
      <c r="B180" s="1914" t="str">
        <f t="shared" si="73"/>
        <v>2.3.3</v>
      </c>
      <c r="C180" s="2034" t="str">
        <f t="shared" si="69"/>
        <v>交通負荷抑制</v>
      </c>
      <c r="D180" s="1938">
        <f t="shared" si="88"/>
        <v>0.25</v>
      </c>
      <c r="E180" s="1938">
        <f t="shared" si="88"/>
        <v>0</v>
      </c>
      <c r="G180" s="1939">
        <f t="shared" si="70"/>
        <v>0.25</v>
      </c>
      <c r="H180" s="1939">
        <f t="shared" si="71"/>
        <v>0</v>
      </c>
      <c r="I180" s="1939"/>
      <c r="J180" s="1939"/>
      <c r="K180" s="1939">
        <f>IF(スコア!Q180=0,0,1)</f>
        <v>1</v>
      </c>
      <c r="L180" s="1939">
        <f>IF(スコア!T180=0,0,1)</f>
        <v>0</v>
      </c>
      <c r="M180" s="1939">
        <f t="shared" si="72"/>
        <v>0.25</v>
      </c>
      <c r="N180" s="1939">
        <f t="shared" si="78"/>
        <v>0</v>
      </c>
      <c r="P180" s="2033" t="str">
        <f t="shared" si="77"/>
        <v>2.3.3</v>
      </c>
      <c r="Q180" s="1944" t="str">
        <f t="shared" si="77"/>
        <v>LR3 2.3</v>
      </c>
      <c r="R180" s="2034" t="str">
        <f t="shared" si="77"/>
        <v>交通負荷抑制</v>
      </c>
      <c r="S180" s="1947">
        <f t="shared" si="76"/>
        <v>0.25</v>
      </c>
      <c r="T180" s="1947">
        <f t="shared" si="76"/>
        <v>0.25</v>
      </c>
      <c r="U180" s="1947">
        <f t="shared" si="76"/>
        <v>0.25</v>
      </c>
      <c r="V180" s="1947">
        <f t="shared" si="76"/>
        <v>0.25</v>
      </c>
      <c r="W180" s="1947">
        <f t="shared" si="76"/>
        <v>0.25</v>
      </c>
      <c r="X180" s="1947">
        <f t="shared" si="83"/>
        <v>0.25</v>
      </c>
      <c r="Y180" s="1947">
        <f t="shared" si="83"/>
        <v>0.25</v>
      </c>
      <c r="Z180" s="1947">
        <f t="shared" si="83"/>
        <v>0.25</v>
      </c>
      <c r="AA180" s="1947">
        <f t="shared" si="83"/>
        <v>0.25</v>
      </c>
      <c r="AB180" s="1947">
        <f t="shared" si="83"/>
        <v>0.25</v>
      </c>
      <c r="AC180" s="2001">
        <f t="shared" si="75"/>
        <v>0</v>
      </c>
      <c r="AD180" s="2000">
        <f t="shared" si="75"/>
        <v>0</v>
      </c>
      <c r="AE180" s="2000">
        <f t="shared" si="75"/>
        <v>0</v>
      </c>
      <c r="AG180" s="2033" t="s">
        <v>1397</v>
      </c>
      <c r="AH180" s="1944" t="s">
        <v>2060</v>
      </c>
      <c r="AI180" s="2034" t="s">
        <v>533</v>
      </c>
      <c r="AJ180" s="1947">
        <v>0.25</v>
      </c>
      <c r="AK180" s="1947">
        <v>0.25</v>
      </c>
      <c r="AL180" s="1947">
        <v>0.25</v>
      </c>
      <c r="AM180" s="1947">
        <v>0.25</v>
      </c>
      <c r="AN180" s="1947">
        <v>0.25</v>
      </c>
      <c r="AO180" s="1947">
        <v>0.25</v>
      </c>
      <c r="AP180" s="1947">
        <v>0.25</v>
      </c>
      <c r="AQ180" s="1947">
        <v>0.25</v>
      </c>
      <c r="AR180" s="1947">
        <v>0.25</v>
      </c>
      <c r="AS180" s="1947">
        <v>0.25</v>
      </c>
      <c r="AT180" s="2003"/>
      <c r="AU180" s="2002"/>
      <c r="AV180" s="2002"/>
      <c r="AX180" s="2033" t="s">
        <v>1398</v>
      </c>
      <c r="AY180" s="1944" t="s">
        <v>2060</v>
      </c>
      <c r="AZ180" s="2034" t="s">
        <v>533</v>
      </c>
      <c r="BA180" s="1947">
        <v>0.25</v>
      </c>
      <c r="BB180" s="1947">
        <v>0.25</v>
      </c>
      <c r="BC180" s="1947">
        <v>0.25</v>
      </c>
      <c r="BD180" s="1947">
        <v>0.25</v>
      </c>
      <c r="BE180" s="1947">
        <v>0.25</v>
      </c>
      <c r="BF180" s="1947">
        <v>0.25</v>
      </c>
      <c r="BG180" s="1947">
        <v>0.25</v>
      </c>
      <c r="BH180" s="1947">
        <v>0.25</v>
      </c>
      <c r="BI180" s="1947">
        <v>0.25</v>
      </c>
      <c r="BJ180" s="1947">
        <v>0.25</v>
      </c>
      <c r="BK180" s="2003"/>
      <c r="BL180" s="2002"/>
      <c r="BM180" s="2002"/>
      <c r="BO180" s="2033" t="s">
        <v>3701</v>
      </c>
      <c r="BP180" s="1944" t="s">
        <v>2060</v>
      </c>
      <c r="BQ180" s="2034" t="s">
        <v>3775</v>
      </c>
      <c r="BR180" s="1947">
        <v>0.25</v>
      </c>
      <c r="BS180" s="1947">
        <v>0.25</v>
      </c>
      <c r="BT180" s="1947">
        <v>0.25</v>
      </c>
      <c r="BU180" s="1947">
        <v>0.25</v>
      </c>
      <c r="BV180" s="1947">
        <v>0.25</v>
      </c>
      <c r="BW180" s="1947">
        <v>0.25</v>
      </c>
      <c r="BX180" s="1947">
        <v>0.25</v>
      </c>
      <c r="BY180" s="1947">
        <v>0.25</v>
      </c>
      <c r="BZ180" s="1947">
        <v>0.25</v>
      </c>
      <c r="CA180" s="1947">
        <v>0.25</v>
      </c>
      <c r="CB180" s="2003"/>
      <c r="CC180" s="2002"/>
      <c r="CD180" s="2002"/>
      <c r="CE180" s="2305"/>
      <c r="CG180" s="2033" t="s">
        <v>3542</v>
      </c>
      <c r="CH180" s="1944" t="s">
        <v>2060</v>
      </c>
      <c r="CI180" s="2034" t="s">
        <v>533</v>
      </c>
      <c r="CJ180" s="2943">
        <f t="shared" si="68"/>
        <v>0.25</v>
      </c>
      <c r="CK180" s="2943">
        <f t="shared" si="68"/>
        <v>0.25</v>
      </c>
      <c r="CL180" s="2943">
        <f t="shared" si="68"/>
        <v>0.25</v>
      </c>
      <c r="CM180" s="2943">
        <f t="shared" si="68"/>
        <v>0.25</v>
      </c>
      <c r="CN180" s="2943">
        <f t="shared" si="68"/>
        <v>0.25</v>
      </c>
      <c r="CO180" s="2943">
        <f t="shared" si="65"/>
        <v>0.25</v>
      </c>
      <c r="CP180" s="2943">
        <f t="shared" si="65"/>
        <v>0.25</v>
      </c>
      <c r="CQ180" s="2943">
        <f t="shared" si="65"/>
        <v>0.25</v>
      </c>
      <c r="CR180" s="2943">
        <f t="shared" si="65"/>
        <v>0.25</v>
      </c>
      <c r="CS180" s="2943">
        <f t="shared" si="65"/>
        <v>0.25</v>
      </c>
      <c r="CT180" s="2980">
        <f t="shared" si="65"/>
        <v>0</v>
      </c>
      <c r="CU180" s="2979">
        <f t="shared" si="65"/>
        <v>0</v>
      </c>
      <c r="CV180" s="2979">
        <f t="shared" si="65"/>
        <v>0</v>
      </c>
      <c r="CW180" s="2445"/>
      <c r="CX180" s="2033" t="s">
        <v>3631</v>
      </c>
      <c r="CY180" s="1944" t="s">
        <v>2060</v>
      </c>
      <c r="CZ180" s="2034"/>
      <c r="DA180" s="2944">
        <v>0</v>
      </c>
      <c r="DB180" s="2945"/>
      <c r="DC180" s="2945"/>
      <c r="DD180" s="2945"/>
      <c r="DE180" s="2945"/>
      <c r="DF180" s="2945"/>
      <c r="DG180" s="2945"/>
      <c r="DH180" s="2945"/>
      <c r="DI180" s="2945"/>
      <c r="DJ180" s="2945"/>
      <c r="DK180" s="2983"/>
      <c r="DL180" s="2982"/>
      <c r="DM180" s="2982"/>
    </row>
    <row r="181" spans="1:117">
      <c r="B181" s="1914" t="str">
        <f t="shared" si="73"/>
        <v>2.3.4</v>
      </c>
      <c r="C181" s="813" t="str">
        <f t="shared" si="69"/>
        <v>廃棄物処理負荷抑制</v>
      </c>
      <c r="D181" s="1938">
        <f t="shared" si="88"/>
        <v>0.25</v>
      </c>
      <c r="E181" s="1938">
        <f t="shared" si="88"/>
        <v>0</v>
      </c>
      <c r="G181" s="1939">
        <f t="shared" si="70"/>
        <v>0.25</v>
      </c>
      <c r="H181" s="1939">
        <f t="shared" si="71"/>
        <v>0</v>
      </c>
      <c r="I181" s="1939"/>
      <c r="J181" s="1939"/>
      <c r="K181" s="1939">
        <f>IF(スコア!Q181=0,0,1)</f>
        <v>1</v>
      </c>
      <c r="L181" s="1939">
        <f>IF(スコア!T181=0,0,1)</f>
        <v>0</v>
      </c>
      <c r="M181" s="1939">
        <f t="shared" si="72"/>
        <v>0.25</v>
      </c>
      <c r="N181" s="1939">
        <f t="shared" si="78"/>
        <v>0</v>
      </c>
      <c r="P181" s="2033" t="str">
        <f t="shared" si="77"/>
        <v>2.3.4</v>
      </c>
      <c r="Q181" s="1944" t="str">
        <f t="shared" si="77"/>
        <v>LR3 2.3</v>
      </c>
      <c r="R181" s="813" t="str">
        <f t="shared" si="77"/>
        <v>廃棄物処理負荷抑制</v>
      </c>
      <c r="S181" s="1947">
        <f t="shared" si="76"/>
        <v>0.25</v>
      </c>
      <c r="T181" s="1947">
        <f t="shared" si="76"/>
        <v>0.25</v>
      </c>
      <c r="U181" s="1947">
        <f t="shared" si="76"/>
        <v>0.25</v>
      </c>
      <c r="V181" s="1947">
        <f t="shared" si="76"/>
        <v>0.25</v>
      </c>
      <c r="W181" s="1947">
        <f t="shared" si="76"/>
        <v>0.25</v>
      </c>
      <c r="X181" s="1947">
        <f t="shared" si="83"/>
        <v>0.25</v>
      </c>
      <c r="Y181" s="1947">
        <f t="shared" si="83"/>
        <v>0.25</v>
      </c>
      <c r="Z181" s="1947">
        <f t="shared" si="83"/>
        <v>0.25</v>
      </c>
      <c r="AA181" s="1947">
        <f t="shared" si="83"/>
        <v>0.25</v>
      </c>
      <c r="AB181" s="1947">
        <f t="shared" si="83"/>
        <v>0.25</v>
      </c>
      <c r="AC181" s="2001">
        <f t="shared" si="75"/>
        <v>0</v>
      </c>
      <c r="AD181" s="2000">
        <f t="shared" si="75"/>
        <v>0</v>
      </c>
      <c r="AE181" s="2000">
        <f t="shared" si="75"/>
        <v>0</v>
      </c>
      <c r="AG181" s="2033" t="s">
        <v>1399</v>
      </c>
      <c r="AH181" s="1944" t="s">
        <v>2060</v>
      </c>
      <c r="AI181" s="813" t="s">
        <v>814</v>
      </c>
      <c r="AJ181" s="1947">
        <v>0.25</v>
      </c>
      <c r="AK181" s="1947">
        <v>0.25</v>
      </c>
      <c r="AL181" s="1947">
        <v>0.25</v>
      </c>
      <c r="AM181" s="1947">
        <v>0.25</v>
      </c>
      <c r="AN181" s="1947">
        <v>0.25</v>
      </c>
      <c r="AO181" s="1947">
        <v>0.25</v>
      </c>
      <c r="AP181" s="1947">
        <v>0.25</v>
      </c>
      <c r="AQ181" s="1947">
        <v>0.25</v>
      </c>
      <c r="AR181" s="1947">
        <v>0.25</v>
      </c>
      <c r="AS181" s="1947">
        <v>0.25</v>
      </c>
      <c r="AT181" s="2003"/>
      <c r="AU181" s="2002"/>
      <c r="AV181" s="2002"/>
      <c r="AX181" s="2033" t="s">
        <v>1400</v>
      </c>
      <c r="AY181" s="1944" t="s">
        <v>2060</v>
      </c>
      <c r="AZ181" s="813" t="s">
        <v>814</v>
      </c>
      <c r="BA181" s="1947">
        <v>0.25</v>
      </c>
      <c r="BB181" s="1947">
        <v>0.25</v>
      </c>
      <c r="BC181" s="1947">
        <v>0.25</v>
      </c>
      <c r="BD181" s="1947">
        <v>0.25</v>
      </c>
      <c r="BE181" s="1947">
        <v>0.25</v>
      </c>
      <c r="BF181" s="1947">
        <v>0.25</v>
      </c>
      <c r="BG181" s="1947">
        <v>0.25</v>
      </c>
      <c r="BH181" s="1947">
        <v>0.25</v>
      </c>
      <c r="BI181" s="1947">
        <v>0.25</v>
      </c>
      <c r="BJ181" s="1947">
        <v>0.25</v>
      </c>
      <c r="BK181" s="2003"/>
      <c r="BL181" s="2002"/>
      <c r="BM181" s="2002"/>
      <c r="BO181" s="2033" t="s">
        <v>3724</v>
      </c>
      <c r="BP181" s="1944" t="s">
        <v>2060</v>
      </c>
      <c r="BQ181" s="813" t="s">
        <v>3776</v>
      </c>
      <c r="BR181" s="1947">
        <v>0.25</v>
      </c>
      <c r="BS181" s="1947">
        <v>0.25</v>
      </c>
      <c r="BT181" s="1947">
        <v>0.25</v>
      </c>
      <c r="BU181" s="1947">
        <v>0.25</v>
      </c>
      <c r="BV181" s="1947">
        <v>0.25</v>
      </c>
      <c r="BW181" s="1947">
        <v>0.25</v>
      </c>
      <c r="BX181" s="1947">
        <v>0.25</v>
      </c>
      <c r="BY181" s="1947">
        <v>0.25</v>
      </c>
      <c r="BZ181" s="1947">
        <v>0.25</v>
      </c>
      <c r="CA181" s="1947">
        <v>0.25</v>
      </c>
      <c r="CB181" s="2003"/>
      <c r="CC181" s="2002"/>
      <c r="CD181" s="2002"/>
      <c r="CE181" s="2305"/>
      <c r="CG181" s="2033" t="s">
        <v>3632</v>
      </c>
      <c r="CH181" s="1944" t="s">
        <v>2060</v>
      </c>
      <c r="CI181" s="2930" t="s">
        <v>814</v>
      </c>
      <c r="CJ181" s="2943">
        <f t="shared" si="68"/>
        <v>0.25</v>
      </c>
      <c r="CK181" s="2943">
        <f t="shared" si="68"/>
        <v>0.25</v>
      </c>
      <c r="CL181" s="2943">
        <f t="shared" si="68"/>
        <v>0.25</v>
      </c>
      <c r="CM181" s="2943">
        <f t="shared" si="68"/>
        <v>0.25</v>
      </c>
      <c r="CN181" s="2943">
        <f t="shared" si="68"/>
        <v>0.25</v>
      </c>
      <c r="CO181" s="2943">
        <f t="shared" si="65"/>
        <v>0.25</v>
      </c>
      <c r="CP181" s="2943">
        <f t="shared" si="65"/>
        <v>0.25</v>
      </c>
      <c r="CQ181" s="2943">
        <f t="shared" si="65"/>
        <v>0.25</v>
      </c>
      <c r="CR181" s="2943">
        <f t="shared" si="65"/>
        <v>0.25</v>
      </c>
      <c r="CS181" s="2943">
        <f t="shared" si="65"/>
        <v>0.25</v>
      </c>
      <c r="CT181" s="2980">
        <f t="shared" si="65"/>
        <v>0</v>
      </c>
      <c r="CU181" s="2979">
        <f t="shared" si="65"/>
        <v>0</v>
      </c>
      <c r="CV181" s="2979">
        <f t="shared" si="65"/>
        <v>0</v>
      </c>
      <c r="CW181" s="2445"/>
      <c r="CX181" s="2033" t="s">
        <v>3632</v>
      </c>
      <c r="CY181" s="1944" t="s">
        <v>2060</v>
      </c>
      <c r="CZ181" s="2930"/>
      <c r="DA181" s="2944">
        <v>0</v>
      </c>
      <c r="DB181" s="2945"/>
      <c r="DC181" s="2945"/>
      <c r="DD181" s="2945"/>
      <c r="DE181" s="2945"/>
      <c r="DF181" s="2945"/>
      <c r="DG181" s="2945"/>
      <c r="DH181" s="2945"/>
      <c r="DI181" s="2945"/>
      <c r="DJ181" s="2945"/>
      <c r="DK181" s="2983"/>
      <c r="DL181" s="2982"/>
      <c r="DM181" s="2982"/>
    </row>
    <row r="182" spans="1:117" hidden="1">
      <c r="A182" s="2445"/>
      <c r="B182" s="1914">
        <f t="shared" si="73"/>
        <v>0</v>
      </c>
      <c r="C182" s="2924">
        <f t="shared" si="69"/>
        <v>0</v>
      </c>
      <c r="D182" s="1938">
        <f>IF(I$174=0,0,G182/I$174)</f>
        <v>0</v>
      </c>
      <c r="E182" s="1938">
        <f>IF(J$174=0,0,H182/J$174)</f>
        <v>0</v>
      </c>
      <c r="F182" s="2445"/>
      <c r="G182" s="1939">
        <f>K182*M182</f>
        <v>0</v>
      </c>
      <c r="H182" s="1939">
        <f t="shared" si="71"/>
        <v>0</v>
      </c>
      <c r="I182" s="1939"/>
      <c r="J182" s="1939"/>
      <c r="K182" s="1939"/>
      <c r="L182" s="1939"/>
      <c r="M182" s="1939">
        <f t="shared" si="72"/>
        <v>0</v>
      </c>
      <c r="N182" s="1939">
        <f t="shared" si="78"/>
        <v>0</v>
      </c>
      <c r="O182" s="2445"/>
      <c r="P182" s="2033">
        <f>IF($P$3=1,AX182,IF($P$3=2,BO182,IF($P$3=3,CG182,IF($P$3=4,CX182,AG182))))</f>
        <v>0</v>
      </c>
      <c r="Q182" s="1944">
        <f t="shared" si="77"/>
        <v>0</v>
      </c>
      <c r="R182" s="2924">
        <f t="shared" si="77"/>
        <v>0</v>
      </c>
      <c r="S182" s="1947">
        <f t="shared" si="76"/>
        <v>0</v>
      </c>
      <c r="T182" s="1947">
        <f t="shared" si="76"/>
        <v>0</v>
      </c>
      <c r="U182" s="1947">
        <f t="shared" si="76"/>
        <v>0</v>
      </c>
      <c r="V182" s="1947">
        <f t="shared" si="76"/>
        <v>0</v>
      </c>
      <c r="W182" s="1947">
        <f t="shared" si="76"/>
        <v>0</v>
      </c>
      <c r="X182" s="1947">
        <f t="shared" si="83"/>
        <v>0</v>
      </c>
      <c r="Y182" s="1947">
        <f t="shared" si="83"/>
        <v>0</v>
      </c>
      <c r="Z182" s="1947">
        <f t="shared" si="83"/>
        <v>0</v>
      </c>
      <c r="AA182" s="1947">
        <f t="shared" si="83"/>
        <v>0</v>
      </c>
      <c r="AB182" s="1947">
        <f t="shared" si="83"/>
        <v>0</v>
      </c>
      <c r="AC182" s="2001">
        <f t="shared" si="75"/>
        <v>0</v>
      </c>
      <c r="AD182" s="2000">
        <f t="shared" si="75"/>
        <v>0</v>
      </c>
      <c r="AE182" s="2000">
        <f t="shared" si="75"/>
        <v>0</v>
      </c>
      <c r="AF182" s="2445"/>
      <c r="AG182" s="2033"/>
      <c r="AH182" s="1944"/>
      <c r="AI182" s="2924"/>
      <c r="AJ182" s="1947"/>
      <c r="AK182" s="1947"/>
      <c r="AL182" s="1947"/>
      <c r="AM182" s="1947"/>
      <c r="AN182" s="1947"/>
      <c r="AO182" s="1947"/>
      <c r="AP182" s="1947"/>
      <c r="AQ182" s="1947"/>
      <c r="AR182" s="1947"/>
      <c r="AS182" s="1947"/>
      <c r="AT182" s="2003"/>
      <c r="AU182" s="2002"/>
      <c r="AV182" s="2002"/>
      <c r="AW182" s="2445"/>
      <c r="AX182" s="2033"/>
      <c r="AY182" s="1944"/>
      <c r="AZ182" s="2924"/>
      <c r="BA182" s="1947"/>
      <c r="BB182" s="1947"/>
      <c r="BC182" s="1947"/>
      <c r="BD182" s="1947"/>
      <c r="BE182" s="1947"/>
      <c r="BF182" s="1947"/>
      <c r="BG182" s="1947"/>
      <c r="BH182" s="1947"/>
      <c r="BI182" s="1947"/>
      <c r="BJ182" s="1947"/>
      <c r="BK182" s="2003"/>
      <c r="BL182" s="2002"/>
      <c r="BM182" s="2002"/>
      <c r="BN182" s="2445"/>
      <c r="BO182" s="2033"/>
      <c r="BP182" s="1944"/>
      <c r="BQ182" s="2924"/>
      <c r="BR182" s="1947"/>
      <c r="BS182" s="1947"/>
      <c r="BT182" s="1947"/>
      <c r="BU182" s="1947"/>
      <c r="BV182" s="1947"/>
      <c r="BW182" s="1947"/>
      <c r="BX182" s="1947"/>
      <c r="BY182" s="1947"/>
      <c r="BZ182" s="1947"/>
      <c r="CA182" s="1947"/>
      <c r="CB182" s="2003"/>
      <c r="CC182" s="2002"/>
      <c r="CD182" s="2002"/>
      <c r="CE182" s="2305"/>
      <c r="CF182" s="2445"/>
      <c r="CG182" s="2033"/>
      <c r="CH182" s="1944"/>
      <c r="CI182" s="2930"/>
      <c r="CJ182" s="2943"/>
      <c r="CK182" s="2943"/>
      <c r="CL182" s="2943"/>
      <c r="CM182" s="2943"/>
      <c r="CN182" s="2943"/>
      <c r="CO182" s="2943"/>
      <c r="CP182" s="2943"/>
      <c r="CQ182" s="2943"/>
      <c r="CR182" s="2943"/>
      <c r="CS182" s="2943"/>
      <c r="CT182" s="2980"/>
      <c r="CU182" s="2979"/>
      <c r="CV182" s="2979"/>
      <c r="CW182" s="2445"/>
      <c r="CX182" s="2033" t="s">
        <v>3632</v>
      </c>
      <c r="CY182" s="1944" t="s">
        <v>2060</v>
      </c>
      <c r="CZ182" s="3004" t="s">
        <v>814</v>
      </c>
      <c r="DA182" s="2944">
        <v>1</v>
      </c>
      <c r="DB182" s="2945"/>
      <c r="DC182" s="2945"/>
      <c r="DD182" s="2945"/>
      <c r="DE182" s="2945"/>
      <c r="DF182" s="2945"/>
      <c r="DG182" s="2945"/>
      <c r="DH182" s="2945"/>
      <c r="DI182" s="2945"/>
      <c r="DJ182" s="2945"/>
      <c r="DK182" s="2983"/>
      <c r="DL182" s="2982"/>
      <c r="DM182" s="2982"/>
    </row>
    <row r="183" spans="1:117" s="1328" customFormat="1">
      <c r="A183"/>
      <c r="B183" s="1914">
        <f t="shared" si="73"/>
        <v>3</v>
      </c>
      <c r="C183" s="1929" t="str">
        <f t="shared" si="69"/>
        <v>周辺環境への配慮</v>
      </c>
      <c r="D183" s="1925" t="e">
        <f>IF(I$172=0,0,G183/I$172)</f>
        <v>#VALUE!</v>
      </c>
      <c r="E183" s="1925">
        <f>IF(J$172=0,0,H183/J$172)</f>
        <v>0</v>
      </c>
      <c r="F183"/>
      <c r="G183" s="1926">
        <f t="shared" si="70"/>
        <v>0.33333333333333337</v>
      </c>
      <c r="H183" s="1926">
        <f t="shared" si="71"/>
        <v>0</v>
      </c>
      <c r="I183" s="1926">
        <f>G184+G188+G192</f>
        <v>1</v>
      </c>
      <c r="J183" s="1926">
        <f>H184+H188+H192</f>
        <v>0</v>
      </c>
      <c r="K183" s="1926">
        <f>IF(スコア!Q183=0,0,1)</f>
        <v>1</v>
      </c>
      <c r="L183" s="1926">
        <f>IF(スコア!T183=0,0,1)</f>
        <v>0</v>
      </c>
      <c r="M183" s="1926">
        <f t="shared" si="72"/>
        <v>0.33333333333333337</v>
      </c>
      <c r="N183" s="1926">
        <f t="shared" si="78"/>
        <v>0</v>
      </c>
      <c r="O183"/>
      <c r="P183" s="2031">
        <f t="shared" si="77"/>
        <v>3</v>
      </c>
      <c r="Q183" s="1933" t="str">
        <f t="shared" si="77"/>
        <v>LR3</v>
      </c>
      <c r="R183" s="1929" t="str">
        <f t="shared" si="77"/>
        <v>周辺環境への配慮</v>
      </c>
      <c r="S183" s="1934">
        <f t="shared" si="76"/>
        <v>0.33333333333333331</v>
      </c>
      <c r="T183" s="1934">
        <f t="shared" si="76"/>
        <v>0.33333333333333331</v>
      </c>
      <c r="U183" s="1934">
        <f t="shared" si="76"/>
        <v>0.33333333333333331</v>
      </c>
      <c r="V183" s="1934">
        <f t="shared" si="76"/>
        <v>0.33333333333333331</v>
      </c>
      <c r="W183" s="1934">
        <f t="shared" si="76"/>
        <v>0.33333333333333331</v>
      </c>
      <c r="X183" s="1934">
        <f t="shared" si="83"/>
        <v>0.33333333333333331</v>
      </c>
      <c r="Y183" s="1934">
        <f t="shared" si="83"/>
        <v>0.33333333333333331</v>
      </c>
      <c r="Z183" s="1934">
        <f t="shared" si="83"/>
        <v>0.33333333333333331</v>
      </c>
      <c r="AA183" s="1934">
        <f t="shared" si="83"/>
        <v>0.33333333333333331</v>
      </c>
      <c r="AB183" s="1934">
        <f t="shared" si="83"/>
        <v>0.33333333333333331</v>
      </c>
      <c r="AC183" s="1932">
        <f t="shared" si="75"/>
        <v>0</v>
      </c>
      <c r="AD183" s="1930">
        <f t="shared" si="75"/>
        <v>0</v>
      </c>
      <c r="AE183" s="1930">
        <f t="shared" si="75"/>
        <v>0</v>
      </c>
      <c r="AF183"/>
      <c r="AG183" s="1928">
        <v>3</v>
      </c>
      <c r="AH183" s="1933" t="s">
        <v>1305</v>
      </c>
      <c r="AI183" s="1929" t="s">
        <v>815</v>
      </c>
      <c r="AJ183" s="1934">
        <v>0.33333333333333331</v>
      </c>
      <c r="AK183" s="1934">
        <v>0.33333333333333331</v>
      </c>
      <c r="AL183" s="1934">
        <v>0.33333333333333331</v>
      </c>
      <c r="AM183" s="1934">
        <v>0.33333333333333331</v>
      </c>
      <c r="AN183" s="1934">
        <v>0.33333333333333331</v>
      </c>
      <c r="AO183" s="1934">
        <v>0.33333333333333331</v>
      </c>
      <c r="AP183" s="1934">
        <v>0.33333333333333331</v>
      </c>
      <c r="AQ183" s="1934">
        <v>0.33333333333333331</v>
      </c>
      <c r="AR183" s="1934">
        <v>0.33333333333333331</v>
      </c>
      <c r="AS183" s="1934">
        <v>0.33333333333333331</v>
      </c>
      <c r="AT183" s="1935">
        <v>0</v>
      </c>
      <c r="AU183" s="1934">
        <v>0</v>
      </c>
      <c r="AV183" s="1934">
        <v>0</v>
      </c>
      <c r="AW183"/>
      <c r="AX183" s="1928">
        <v>3</v>
      </c>
      <c r="AY183" s="1933" t="s">
        <v>1305</v>
      </c>
      <c r="AZ183" s="1929" t="s">
        <v>815</v>
      </c>
      <c r="BA183" s="1934">
        <f t="shared" ref="BA183:BJ183" si="89">1/3</f>
        <v>0.33333333333333331</v>
      </c>
      <c r="BB183" s="1934">
        <f t="shared" si="89"/>
        <v>0.33333333333333331</v>
      </c>
      <c r="BC183" s="1934">
        <f t="shared" si="89"/>
        <v>0.33333333333333331</v>
      </c>
      <c r="BD183" s="1934">
        <f t="shared" si="89"/>
        <v>0.33333333333333331</v>
      </c>
      <c r="BE183" s="1934">
        <f t="shared" si="89"/>
        <v>0.33333333333333331</v>
      </c>
      <c r="BF183" s="1934">
        <f t="shared" si="89"/>
        <v>0.33333333333333331</v>
      </c>
      <c r="BG183" s="1934">
        <f t="shared" si="89"/>
        <v>0.33333333333333331</v>
      </c>
      <c r="BH183" s="1934">
        <f t="shared" si="89"/>
        <v>0.33333333333333331</v>
      </c>
      <c r="BI183" s="1934">
        <f t="shared" si="89"/>
        <v>0.33333333333333331</v>
      </c>
      <c r="BJ183" s="1934">
        <f t="shared" si="89"/>
        <v>0.33333333333333331</v>
      </c>
      <c r="BK183" s="1935"/>
      <c r="BL183" s="1934"/>
      <c r="BM183" s="1934"/>
      <c r="BN183"/>
      <c r="BO183" s="1928">
        <v>3</v>
      </c>
      <c r="BP183" s="1933" t="s">
        <v>1305</v>
      </c>
      <c r="BQ183" s="1929" t="s">
        <v>3777</v>
      </c>
      <c r="BR183" s="1934">
        <f t="shared" ref="BR183:CA183" si="90">1/3</f>
        <v>0.33333333333333331</v>
      </c>
      <c r="BS183" s="1934">
        <f t="shared" si="90"/>
        <v>0.33333333333333331</v>
      </c>
      <c r="BT183" s="1934">
        <f t="shared" si="90"/>
        <v>0.33333333333333331</v>
      </c>
      <c r="BU183" s="1934">
        <f t="shared" si="90"/>
        <v>0.33333333333333331</v>
      </c>
      <c r="BV183" s="1934">
        <f t="shared" si="90"/>
        <v>0.33333333333333331</v>
      </c>
      <c r="BW183" s="1934">
        <f t="shared" si="90"/>
        <v>0.33333333333333331</v>
      </c>
      <c r="BX183" s="1934">
        <f t="shared" si="90"/>
        <v>0.33333333333333331</v>
      </c>
      <c r="BY183" s="1934">
        <f t="shared" si="90"/>
        <v>0.33333333333333331</v>
      </c>
      <c r="BZ183" s="1934">
        <f t="shared" si="90"/>
        <v>0.33333333333333331</v>
      </c>
      <c r="CA183" s="1934">
        <f t="shared" si="90"/>
        <v>0.33333333333333331</v>
      </c>
      <c r="CB183" s="1935"/>
      <c r="CC183" s="1934"/>
      <c r="CD183" s="1934"/>
      <c r="CE183" s="2301"/>
      <c r="CF183"/>
      <c r="CG183" s="1928">
        <v>3</v>
      </c>
      <c r="CH183" s="1933" t="s">
        <v>1305</v>
      </c>
      <c r="CI183" s="1929" t="s">
        <v>815</v>
      </c>
      <c r="CJ183" s="2937">
        <f t="shared" si="68"/>
        <v>0.33333333333333331</v>
      </c>
      <c r="CK183" s="2937">
        <f t="shared" si="68"/>
        <v>0.33333333333333331</v>
      </c>
      <c r="CL183" s="2937">
        <f t="shared" si="68"/>
        <v>0.33333333333333331</v>
      </c>
      <c r="CM183" s="2937">
        <f t="shared" si="68"/>
        <v>0.33333333333333331</v>
      </c>
      <c r="CN183" s="2937">
        <f t="shared" si="68"/>
        <v>0.33333333333333331</v>
      </c>
      <c r="CO183" s="2937">
        <f t="shared" si="65"/>
        <v>0.33333333333333331</v>
      </c>
      <c r="CP183" s="2937">
        <f t="shared" si="65"/>
        <v>0.33333333333333331</v>
      </c>
      <c r="CQ183" s="2937">
        <f t="shared" si="65"/>
        <v>0.33333333333333331</v>
      </c>
      <c r="CR183" s="2937">
        <f t="shared" si="65"/>
        <v>0.33333333333333331</v>
      </c>
      <c r="CS183" s="2937">
        <f t="shared" si="65"/>
        <v>0.33333333333333331</v>
      </c>
      <c r="CT183" s="2939">
        <f t="shared" si="65"/>
        <v>0</v>
      </c>
      <c r="CU183" s="2937">
        <f t="shared" si="65"/>
        <v>0</v>
      </c>
      <c r="CV183" s="2937">
        <f t="shared" si="65"/>
        <v>0</v>
      </c>
      <c r="CW183" s="2445"/>
      <c r="CX183" s="1928">
        <v>3</v>
      </c>
      <c r="CY183" s="1933" t="s">
        <v>1305</v>
      </c>
      <c r="CZ183" s="1929" t="s">
        <v>815</v>
      </c>
      <c r="DA183" s="2974">
        <v>0</v>
      </c>
      <c r="DB183" s="2940"/>
      <c r="DC183" s="2940"/>
      <c r="DD183" s="2940"/>
      <c r="DE183" s="2940"/>
      <c r="DF183" s="2940"/>
      <c r="DG183" s="2940"/>
      <c r="DH183" s="2940"/>
      <c r="DI183" s="2940"/>
      <c r="DJ183" s="2940"/>
      <c r="DK183" s="2942"/>
      <c r="DL183" s="2940"/>
      <c r="DM183" s="2940"/>
    </row>
    <row r="184" spans="1:117">
      <c r="B184" s="1914" t="str">
        <f t="shared" si="73"/>
        <v>3.1</v>
      </c>
      <c r="C184" s="1941" t="str">
        <f t="shared" si="69"/>
        <v>騒音・振動・悪臭の防止</v>
      </c>
      <c r="D184" s="1938">
        <f>IF(I$183=0,0,G184/I$183)</f>
        <v>0.4</v>
      </c>
      <c r="E184" s="1938">
        <f>IF(J$183=0,0,H184/J$183)</f>
        <v>0</v>
      </c>
      <c r="G184" s="1939">
        <f t="shared" si="70"/>
        <v>0.4</v>
      </c>
      <c r="H184" s="1939">
        <f t="shared" si="71"/>
        <v>0</v>
      </c>
      <c r="I184" s="1939">
        <f>SUM(G185:G187)</f>
        <v>1</v>
      </c>
      <c r="J184" s="1939">
        <f>SUM(H185:H187)</f>
        <v>0</v>
      </c>
      <c r="K184" s="1939">
        <f>IF(スコア!Q184=0,0,1)</f>
        <v>1</v>
      </c>
      <c r="L184" s="1939">
        <f>IF(スコア!T184=0,0,1)</f>
        <v>0</v>
      </c>
      <c r="M184" s="1939">
        <f t="shared" si="72"/>
        <v>0.4</v>
      </c>
      <c r="N184" s="1939">
        <f t="shared" si="78"/>
        <v>0</v>
      </c>
      <c r="P184" s="2032" t="str">
        <f t="shared" si="77"/>
        <v>3.1</v>
      </c>
      <c r="Q184" s="1944" t="str">
        <f t="shared" si="77"/>
        <v>LR3 3</v>
      </c>
      <c r="R184" s="1941" t="str">
        <f t="shared" si="77"/>
        <v>騒音・振動・悪臭の防止</v>
      </c>
      <c r="S184" s="2002">
        <f t="shared" si="76"/>
        <v>0.4</v>
      </c>
      <c r="T184" s="2002">
        <f t="shared" si="76"/>
        <v>0.4</v>
      </c>
      <c r="U184" s="2002">
        <f t="shared" si="76"/>
        <v>0.4</v>
      </c>
      <c r="V184" s="2002">
        <f t="shared" si="76"/>
        <v>0.4</v>
      </c>
      <c r="W184" s="2002">
        <f t="shared" si="76"/>
        <v>0.4</v>
      </c>
      <c r="X184" s="2002">
        <f t="shared" si="83"/>
        <v>0.4</v>
      </c>
      <c r="Y184" s="2002">
        <f t="shared" si="83"/>
        <v>0.4</v>
      </c>
      <c r="Z184" s="2002">
        <f t="shared" si="83"/>
        <v>0.4</v>
      </c>
      <c r="AA184" s="2002">
        <f t="shared" si="83"/>
        <v>0.4</v>
      </c>
      <c r="AB184" s="2002">
        <f t="shared" si="83"/>
        <v>0.4</v>
      </c>
      <c r="AC184" s="2001">
        <f t="shared" si="75"/>
        <v>0</v>
      </c>
      <c r="AD184" s="2000">
        <f t="shared" si="75"/>
        <v>0</v>
      </c>
      <c r="AE184" s="2000">
        <f t="shared" si="75"/>
        <v>0</v>
      </c>
      <c r="AG184" s="2033" t="s">
        <v>1401</v>
      </c>
      <c r="AH184" s="1944" t="s">
        <v>2061</v>
      </c>
      <c r="AI184" s="1941" t="s">
        <v>816</v>
      </c>
      <c r="AJ184" s="2002">
        <v>0.4</v>
      </c>
      <c r="AK184" s="2002">
        <v>0.4</v>
      </c>
      <c r="AL184" s="2002">
        <v>0.4</v>
      </c>
      <c r="AM184" s="2002">
        <v>0.4</v>
      </c>
      <c r="AN184" s="2002">
        <v>0.4</v>
      </c>
      <c r="AO184" s="2002">
        <v>0.4</v>
      </c>
      <c r="AP184" s="2002">
        <v>0.4</v>
      </c>
      <c r="AQ184" s="2002">
        <v>0.4</v>
      </c>
      <c r="AR184" s="2002">
        <v>0.4</v>
      </c>
      <c r="AS184" s="2002">
        <v>0.4</v>
      </c>
      <c r="AT184" s="2003"/>
      <c r="AU184" s="2002"/>
      <c r="AV184" s="2002"/>
      <c r="AX184" s="2033" t="s">
        <v>1402</v>
      </c>
      <c r="AY184" s="1944" t="s">
        <v>2061</v>
      </c>
      <c r="AZ184" s="1941" t="s">
        <v>816</v>
      </c>
      <c r="BA184" s="2002">
        <v>0.4</v>
      </c>
      <c r="BB184" s="2002">
        <v>0.4</v>
      </c>
      <c r="BC184" s="2002">
        <v>0.4</v>
      </c>
      <c r="BD184" s="2002">
        <v>0.4</v>
      </c>
      <c r="BE184" s="2002">
        <v>0.4</v>
      </c>
      <c r="BF184" s="2002">
        <v>0.4</v>
      </c>
      <c r="BG184" s="2002">
        <v>0.4</v>
      </c>
      <c r="BH184" s="2002">
        <v>0.4</v>
      </c>
      <c r="BI184" s="2002">
        <v>0.4</v>
      </c>
      <c r="BJ184" s="2002">
        <v>0.4</v>
      </c>
      <c r="BK184" s="2003"/>
      <c r="BL184" s="2002"/>
      <c r="BM184" s="2002"/>
      <c r="BO184" s="2033" t="s">
        <v>3708</v>
      </c>
      <c r="BP184" s="1944" t="s">
        <v>2061</v>
      </c>
      <c r="BQ184" s="1941" t="s">
        <v>3778</v>
      </c>
      <c r="BR184" s="2002">
        <v>0.4</v>
      </c>
      <c r="BS184" s="2002">
        <v>0.4</v>
      </c>
      <c r="BT184" s="2002">
        <v>0.4</v>
      </c>
      <c r="BU184" s="2002">
        <v>0.4</v>
      </c>
      <c r="BV184" s="2002">
        <v>0.4</v>
      </c>
      <c r="BW184" s="2002">
        <v>0.4</v>
      </c>
      <c r="BX184" s="2002">
        <v>0.4</v>
      </c>
      <c r="BY184" s="2002">
        <v>0.4</v>
      </c>
      <c r="BZ184" s="2002">
        <v>0.4</v>
      </c>
      <c r="CA184" s="2002">
        <v>0.4</v>
      </c>
      <c r="CB184" s="2003"/>
      <c r="CC184" s="2002"/>
      <c r="CD184" s="2002"/>
      <c r="CE184" s="2305"/>
      <c r="CG184" s="2033" t="s">
        <v>3615</v>
      </c>
      <c r="CH184" s="1944" t="s">
        <v>2061</v>
      </c>
      <c r="CI184" s="1941" t="s">
        <v>816</v>
      </c>
      <c r="CJ184" s="2979">
        <f t="shared" si="68"/>
        <v>0.4</v>
      </c>
      <c r="CK184" s="2979">
        <f t="shared" si="68"/>
        <v>0.4</v>
      </c>
      <c r="CL184" s="2979">
        <f t="shared" si="68"/>
        <v>0.4</v>
      </c>
      <c r="CM184" s="2979">
        <f t="shared" si="68"/>
        <v>0.4</v>
      </c>
      <c r="CN184" s="2979">
        <f t="shared" si="68"/>
        <v>0.4</v>
      </c>
      <c r="CO184" s="2979">
        <f t="shared" si="65"/>
        <v>0.4</v>
      </c>
      <c r="CP184" s="2979">
        <f t="shared" si="65"/>
        <v>0.4</v>
      </c>
      <c r="CQ184" s="2979">
        <f t="shared" si="65"/>
        <v>0.4</v>
      </c>
      <c r="CR184" s="2979">
        <f t="shared" si="65"/>
        <v>0.4</v>
      </c>
      <c r="CS184" s="2979">
        <f t="shared" si="65"/>
        <v>0.4</v>
      </c>
      <c r="CT184" s="2980">
        <f t="shared" si="65"/>
        <v>0</v>
      </c>
      <c r="CU184" s="2979">
        <f t="shared" si="65"/>
        <v>0</v>
      </c>
      <c r="CV184" s="2979">
        <f t="shared" si="65"/>
        <v>0</v>
      </c>
      <c r="CW184" s="2445"/>
      <c r="CX184" s="2033" t="s">
        <v>3615</v>
      </c>
      <c r="CY184" s="1944" t="s">
        <v>2061</v>
      </c>
      <c r="CZ184" s="1941"/>
      <c r="DA184" s="2944">
        <v>0</v>
      </c>
      <c r="DB184" s="2982"/>
      <c r="DC184" s="2982"/>
      <c r="DD184" s="2982"/>
      <c r="DE184" s="2982"/>
      <c r="DF184" s="2982"/>
      <c r="DG184" s="2982"/>
      <c r="DH184" s="2982"/>
      <c r="DI184" s="2982"/>
      <c r="DJ184" s="2982"/>
      <c r="DK184" s="2983"/>
      <c r="DL184" s="2982"/>
      <c r="DM184" s="2982"/>
    </row>
    <row r="185" spans="1:117">
      <c r="B185" s="1914" t="str">
        <f t="shared" si="73"/>
        <v>3.1.1</v>
      </c>
      <c r="C185" s="1941" t="str">
        <f t="shared" si="69"/>
        <v>騒音</v>
      </c>
      <c r="D185" s="1938">
        <f t="shared" ref="D185:E187" si="91">IF(I$184=0,0,G185/I$184)</f>
        <v>0.33333333333333337</v>
      </c>
      <c r="E185" s="1938">
        <f t="shared" si="91"/>
        <v>0</v>
      </c>
      <c r="G185" s="1939">
        <f t="shared" si="70"/>
        <v>0.33333333333333337</v>
      </c>
      <c r="H185" s="1939">
        <f t="shared" si="71"/>
        <v>0</v>
      </c>
      <c r="I185" s="1939"/>
      <c r="J185" s="1939"/>
      <c r="K185" s="1939">
        <f>IF(スコア!Q185=0,0,1)</f>
        <v>1</v>
      </c>
      <c r="L185" s="1939">
        <f>IF(スコア!T185=0,0,1)</f>
        <v>0</v>
      </c>
      <c r="M185" s="1939">
        <f t="shared" si="72"/>
        <v>0.33333333333333337</v>
      </c>
      <c r="N185" s="1939">
        <f t="shared" si="78"/>
        <v>0</v>
      </c>
      <c r="P185" s="2033" t="str">
        <f t="shared" si="77"/>
        <v>3.1.1</v>
      </c>
      <c r="Q185" s="1940" t="str">
        <f t="shared" si="77"/>
        <v>LR3 3.1</v>
      </c>
      <c r="R185" s="1941" t="str">
        <f t="shared" si="77"/>
        <v>騒音</v>
      </c>
      <c r="S185" s="1947">
        <f t="shared" si="76"/>
        <v>0.33333333333333331</v>
      </c>
      <c r="T185" s="1947">
        <f t="shared" si="76"/>
        <v>0.33333333333333331</v>
      </c>
      <c r="U185" s="1947">
        <f t="shared" si="76"/>
        <v>0.33333333333333331</v>
      </c>
      <c r="V185" s="1947">
        <f t="shared" si="76"/>
        <v>0.33333333333333331</v>
      </c>
      <c r="W185" s="1947">
        <f t="shared" si="76"/>
        <v>0.33333333333333331</v>
      </c>
      <c r="X185" s="1947">
        <f t="shared" si="83"/>
        <v>0.33333333333333331</v>
      </c>
      <c r="Y185" s="1947">
        <f t="shared" si="83"/>
        <v>0.33333333333333331</v>
      </c>
      <c r="Z185" s="1947">
        <f t="shared" si="83"/>
        <v>0.33333333333333331</v>
      </c>
      <c r="AA185" s="1947">
        <f t="shared" si="83"/>
        <v>0.33333333333333331</v>
      </c>
      <c r="AB185" s="1947">
        <f t="shared" si="83"/>
        <v>0.33333333333333331</v>
      </c>
      <c r="AC185" s="1943">
        <f t="shared" si="75"/>
        <v>0</v>
      </c>
      <c r="AD185" s="1942">
        <f t="shared" si="75"/>
        <v>0</v>
      </c>
      <c r="AE185" s="1942">
        <f t="shared" si="75"/>
        <v>0</v>
      </c>
      <c r="AG185" s="2033" t="s">
        <v>1403</v>
      </c>
      <c r="AH185" s="1940" t="s">
        <v>2062</v>
      </c>
      <c r="AI185" s="1941" t="s">
        <v>817</v>
      </c>
      <c r="AJ185" s="1947">
        <v>0.33333333333333331</v>
      </c>
      <c r="AK185" s="1947">
        <v>0.33333333333333331</v>
      </c>
      <c r="AL185" s="1947">
        <v>0.33333333333333331</v>
      </c>
      <c r="AM185" s="1947">
        <v>0.33333333333333331</v>
      </c>
      <c r="AN185" s="1947">
        <v>0.33333333333333331</v>
      </c>
      <c r="AO185" s="1947">
        <v>0.33333333333333331</v>
      </c>
      <c r="AP185" s="1947">
        <v>0.33333333333333331</v>
      </c>
      <c r="AQ185" s="1947">
        <v>0.33333333333333331</v>
      </c>
      <c r="AR185" s="1947">
        <v>0.33333333333333331</v>
      </c>
      <c r="AS185" s="1947">
        <v>0.33333333333333331</v>
      </c>
      <c r="AT185" s="1948"/>
      <c r="AU185" s="1947"/>
      <c r="AV185" s="1947"/>
      <c r="AX185" s="2033" t="s">
        <v>1404</v>
      </c>
      <c r="AY185" s="1940" t="s">
        <v>2062</v>
      </c>
      <c r="AZ185" s="1941" t="s">
        <v>817</v>
      </c>
      <c r="BA185" s="1947">
        <v>0.33333333333333331</v>
      </c>
      <c r="BB185" s="1947">
        <v>0.33333333333333331</v>
      </c>
      <c r="BC185" s="1947">
        <v>0.33333333333333331</v>
      </c>
      <c r="BD185" s="1947">
        <v>0.33333333333333331</v>
      </c>
      <c r="BE185" s="1947">
        <v>0.33333333333333331</v>
      </c>
      <c r="BF185" s="1947">
        <v>0.33333333333333331</v>
      </c>
      <c r="BG185" s="1947">
        <v>0.33333333333333331</v>
      </c>
      <c r="BH185" s="1947">
        <v>0.33333333333333331</v>
      </c>
      <c r="BI185" s="1947">
        <v>0.33333333333333331</v>
      </c>
      <c r="BJ185" s="1947">
        <v>0.33333333333333331</v>
      </c>
      <c r="BK185" s="1948"/>
      <c r="BL185" s="1947"/>
      <c r="BM185" s="1947"/>
      <c r="BO185" s="2033" t="s">
        <v>3675</v>
      </c>
      <c r="BP185" s="1940" t="s">
        <v>2062</v>
      </c>
      <c r="BQ185" s="1941" t="s">
        <v>3779</v>
      </c>
      <c r="BR185" s="1947">
        <v>0.33333333333333331</v>
      </c>
      <c r="BS185" s="1947">
        <v>0.33333333333333331</v>
      </c>
      <c r="BT185" s="1947">
        <v>0.33333333333333331</v>
      </c>
      <c r="BU185" s="1947">
        <v>0.33333333333333331</v>
      </c>
      <c r="BV185" s="1947">
        <v>0.33333333333333331</v>
      </c>
      <c r="BW185" s="1947">
        <v>0.33333333333333331</v>
      </c>
      <c r="BX185" s="1947">
        <v>0.33333333333333331</v>
      </c>
      <c r="BY185" s="1947">
        <v>0.33333333333333331</v>
      </c>
      <c r="BZ185" s="1947">
        <v>0.33333333333333331</v>
      </c>
      <c r="CA185" s="1947">
        <v>0.33333333333333331</v>
      </c>
      <c r="CB185" s="1947"/>
      <c r="CC185" s="1947"/>
      <c r="CD185" s="1947"/>
      <c r="CE185" s="2302"/>
      <c r="CG185" s="2033" t="s">
        <v>3633</v>
      </c>
      <c r="CH185" s="1940" t="s">
        <v>2062</v>
      </c>
      <c r="CI185" s="1941" t="s">
        <v>817</v>
      </c>
      <c r="CJ185" s="2943">
        <f t="shared" si="68"/>
        <v>0.33333333333333331</v>
      </c>
      <c r="CK185" s="2943">
        <f t="shared" si="68"/>
        <v>0.33333333333333331</v>
      </c>
      <c r="CL185" s="2943">
        <f t="shared" si="68"/>
        <v>0.33333333333333331</v>
      </c>
      <c r="CM185" s="2943">
        <f t="shared" si="68"/>
        <v>0.33333333333333331</v>
      </c>
      <c r="CN185" s="2943">
        <f t="shared" si="68"/>
        <v>0.33333333333333331</v>
      </c>
      <c r="CO185" s="2943">
        <f t="shared" si="65"/>
        <v>0.33333333333333331</v>
      </c>
      <c r="CP185" s="2943">
        <f t="shared" si="65"/>
        <v>0.33333333333333331</v>
      </c>
      <c r="CQ185" s="2943">
        <f t="shared" si="65"/>
        <v>0.33333333333333331</v>
      </c>
      <c r="CR185" s="2943">
        <f t="shared" si="65"/>
        <v>0.33333333333333331</v>
      </c>
      <c r="CS185" s="2943">
        <f t="shared" si="65"/>
        <v>0.33333333333333331</v>
      </c>
      <c r="CT185" s="2943">
        <f t="shared" si="65"/>
        <v>0</v>
      </c>
      <c r="CU185" s="2943">
        <f t="shared" si="65"/>
        <v>0</v>
      </c>
      <c r="CV185" s="2943">
        <f t="shared" si="65"/>
        <v>0</v>
      </c>
      <c r="CW185" s="2445"/>
      <c r="CX185" s="2033" t="s">
        <v>3633</v>
      </c>
      <c r="CY185" s="1940" t="s">
        <v>2062</v>
      </c>
      <c r="CZ185" s="1941"/>
      <c r="DA185" s="2944">
        <v>0</v>
      </c>
      <c r="DB185" s="2945"/>
      <c r="DC185" s="2945"/>
      <c r="DD185" s="2945"/>
      <c r="DE185" s="2945"/>
      <c r="DF185" s="2945"/>
      <c r="DG185" s="2945"/>
      <c r="DH185" s="2945"/>
      <c r="DI185" s="2945"/>
      <c r="DJ185" s="2945"/>
      <c r="DK185" s="2945"/>
      <c r="DL185" s="2945"/>
      <c r="DM185" s="2945"/>
    </row>
    <row r="186" spans="1:117">
      <c r="B186" s="1914" t="str">
        <f t="shared" si="73"/>
        <v>3.1.2</v>
      </c>
      <c r="C186" s="1941" t="str">
        <f t="shared" si="69"/>
        <v>振動</v>
      </c>
      <c r="D186" s="1938">
        <f t="shared" si="91"/>
        <v>0.33333333333333337</v>
      </c>
      <c r="E186" s="1938">
        <f t="shared" si="91"/>
        <v>0</v>
      </c>
      <c r="G186" s="1939">
        <f t="shared" si="70"/>
        <v>0.33333333333333337</v>
      </c>
      <c r="H186" s="1939">
        <f t="shared" si="71"/>
        <v>0</v>
      </c>
      <c r="I186" s="1939"/>
      <c r="J186" s="1939"/>
      <c r="K186" s="1939">
        <f>IF(スコア!Q186=0,0,1)</f>
        <v>1</v>
      </c>
      <c r="L186" s="1939">
        <f>IF(スコア!T186=0,0,1)</f>
        <v>0</v>
      </c>
      <c r="M186" s="1939">
        <f t="shared" si="72"/>
        <v>0.33333333333333337</v>
      </c>
      <c r="N186" s="1939">
        <f t="shared" si="78"/>
        <v>0</v>
      </c>
      <c r="P186" s="2033" t="str">
        <f t="shared" si="77"/>
        <v>3.1.2</v>
      </c>
      <c r="Q186" s="1940" t="str">
        <f t="shared" si="77"/>
        <v>LR3 3.1</v>
      </c>
      <c r="R186" s="1941" t="str">
        <f t="shared" si="77"/>
        <v>振動</v>
      </c>
      <c r="S186" s="1947">
        <f t="shared" si="76"/>
        <v>0.33333333333333331</v>
      </c>
      <c r="T186" s="1947">
        <f t="shared" si="76"/>
        <v>0.33333333333333331</v>
      </c>
      <c r="U186" s="1947">
        <f t="shared" si="76"/>
        <v>0.33333333333333331</v>
      </c>
      <c r="V186" s="1947">
        <f t="shared" si="76"/>
        <v>0.33333333333333331</v>
      </c>
      <c r="W186" s="1947">
        <f t="shared" si="76"/>
        <v>0.33333333333333331</v>
      </c>
      <c r="X186" s="1947">
        <f t="shared" si="83"/>
        <v>0.33333333333333331</v>
      </c>
      <c r="Y186" s="1947">
        <f t="shared" si="83"/>
        <v>0.33333333333333331</v>
      </c>
      <c r="Z186" s="1947">
        <f t="shared" si="83"/>
        <v>0.33333333333333331</v>
      </c>
      <c r="AA186" s="1947">
        <f t="shared" si="83"/>
        <v>0.33333333333333331</v>
      </c>
      <c r="AB186" s="1947">
        <f t="shared" si="83"/>
        <v>0.33333333333333331</v>
      </c>
      <c r="AC186" s="1943">
        <f t="shared" si="75"/>
        <v>0</v>
      </c>
      <c r="AD186" s="1942">
        <f t="shared" si="75"/>
        <v>0</v>
      </c>
      <c r="AE186" s="1942">
        <f t="shared" si="75"/>
        <v>0</v>
      </c>
      <c r="AG186" s="2033" t="s">
        <v>1405</v>
      </c>
      <c r="AH186" s="1940" t="s">
        <v>2062</v>
      </c>
      <c r="AI186" s="1941" t="s">
        <v>2063</v>
      </c>
      <c r="AJ186" s="1947">
        <v>0.33333333333333331</v>
      </c>
      <c r="AK186" s="1947">
        <v>0.33333333333333331</v>
      </c>
      <c r="AL186" s="1947">
        <v>0.33333333333333331</v>
      </c>
      <c r="AM186" s="1947">
        <v>0.33333333333333331</v>
      </c>
      <c r="AN186" s="1947">
        <v>0.33333333333333331</v>
      </c>
      <c r="AO186" s="1947">
        <v>0.33333333333333331</v>
      </c>
      <c r="AP186" s="1947">
        <v>0.33333333333333331</v>
      </c>
      <c r="AQ186" s="1947">
        <v>0.33333333333333331</v>
      </c>
      <c r="AR186" s="1947">
        <v>0.33333333333333331</v>
      </c>
      <c r="AS186" s="1947">
        <v>0.33333333333333331</v>
      </c>
      <c r="AT186" s="1948"/>
      <c r="AU186" s="1947"/>
      <c r="AV186" s="1947"/>
      <c r="AX186" s="2033" t="s">
        <v>1405</v>
      </c>
      <c r="AY186" s="1940" t="s">
        <v>2062</v>
      </c>
      <c r="AZ186" s="1941" t="s">
        <v>2063</v>
      </c>
      <c r="BA186" s="1947">
        <v>0.33333333333333331</v>
      </c>
      <c r="BB186" s="1947">
        <v>0.33333333333333331</v>
      </c>
      <c r="BC186" s="1947">
        <v>0.33333333333333331</v>
      </c>
      <c r="BD186" s="1947">
        <v>0.33333333333333331</v>
      </c>
      <c r="BE186" s="1947">
        <v>0.33333333333333331</v>
      </c>
      <c r="BF186" s="1947">
        <v>0.33333333333333331</v>
      </c>
      <c r="BG186" s="1947">
        <v>0.33333333333333331</v>
      </c>
      <c r="BH186" s="1947">
        <v>0.33333333333333331</v>
      </c>
      <c r="BI186" s="1947">
        <v>0.33333333333333331</v>
      </c>
      <c r="BJ186" s="1947">
        <v>0.33333333333333331</v>
      </c>
      <c r="BK186" s="1948"/>
      <c r="BL186" s="1947"/>
      <c r="BM186" s="1947"/>
      <c r="BO186" s="2033" t="s">
        <v>3676</v>
      </c>
      <c r="BP186" s="1940" t="s">
        <v>2062</v>
      </c>
      <c r="BQ186" s="1941" t="s">
        <v>3780</v>
      </c>
      <c r="BR186" s="1947">
        <v>0.33333333333333331</v>
      </c>
      <c r="BS186" s="1947">
        <v>0.33333333333333331</v>
      </c>
      <c r="BT186" s="1947">
        <v>0.33333333333333331</v>
      </c>
      <c r="BU186" s="1947">
        <v>0.33333333333333331</v>
      </c>
      <c r="BV186" s="1947">
        <v>0.33333333333333331</v>
      </c>
      <c r="BW186" s="1947">
        <v>0.33333333333333331</v>
      </c>
      <c r="BX186" s="1947">
        <v>0.33333333333333331</v>
      </c>
      <c r="BY186" s="1947">
        <v>0.33333333333333331</v>
      </c>
      <c r="BZ186" s="1947">
        <v>0.33333333333333331</v>
      </c>
      <c r="CA186" s="1947">
        <v>0.33333333333333331</v>
      </c>
      <c r="CB186" s="1947"/>
      <c r="CC186" s="1947"/>
      <c r="CD186" s="1947"/>
      <c r="CE186" s="2302"/>
      <c r="CG186" s="2033" t="s">
        <v>3634</v>
      </c>
      <c r="CH186" s="1940" t="s">
        <v>2062</v>
      </c>
      <c r="CI186" s="1941" t="s">
        <v>2063</v>
      </c>
      <c r="CJ186" s="2943">
        <f t="shared" si="68"/>
        <v>0.33333333333333331</v>
      </c>
      <c r="CK186" s="2943">
        <f t="shared" si="68"/>
        <v>0.33333333333333331</v>
      </c>
      <c r="CL186" s="2943">
        <f t="shared" si="68"/>
        <v>0.33333333333333331</v>
      </c>
      <c r="CM186" s="2943">
        <f t="shared" si="68"/>
        <v>0.33333333333333331</v>
      </c>
      <c r="CN186" s="2943">
        <f t="shared" si="68"/>
        <v>0.33333333333333331</v>
      </c>
      <c r="CO186" s="2943">
        <f t="shared" si="65"/>
        <v>0.33333333333333331</v>
      </c>
      <c r="CP186" s="2943">
        <f t="shared" si="65"/>
        <v>0.33333333333333331</v>
      </c>
      <c r="CQ186" s="2943">
        <f t="shared" si="65"/>
        <v>0.33333333333333331</v>
      </c>
      <c r="CR186" s="2943">
        <f t="shared" si="65"/>
        <v>0.33333333333333331</v>
      </c>
      <c r="CS186" s="2943">
        <f t="shared" si="65"/>
        <v>0.33333333333333331</v>
      </c>
      <c r="CT186" s="2943">
        <f t="shared" si="65"/>
        <v>0</v>
      </c>
      <c r="CU186" s="2943">
        <f t="shared" si="65"/>
        <v>0</v>
      </c>
      <c r="CV186" s="2943">
        <f t="shared" si="65"/>
        <v>0</v>
      </c>
      <c r="CW186" s="2445"/>
      <c r="CX186" s="2033" t="s">
        <v>3634</v>
      </c>
      <c r="CY186" s="1940" t="s">
        <v>2062</v>
      </c>
      <c r="CZ186" s="1941"/>
      <c r="DA186" s="2944">
        <v>0</v>
      </c>
      <c r="DB186" s="2945"/>
      <c r="DC186" s="2945"/>
      <c r="DD186" s="2945"/>
      <c r="DE186" s="2945"/>
      <c r="DF186" s="2945"/>
      <c r="DG186" s="2945"/>
      <c r="DH186" s="2945"/>
      <c r="DI186" s="2945"/>
      <c r="DJ186" s="2945"/>
      <c r="DK186" s="2945"/>
      <c r="DL186" s="2945"/>
      <c r="DM186" s="2945"/>
    </row>
    <row r="187" spans="1:117" ht="13.5" customHeight="1">
      <c r="B187" s="1914" t="str">
        <f t="shared" si="73"/>
        <v>3.1.3</v>
      </c>
      <c r="C187" s="1941" t="str">
        <f t="shared" ref="C187:C194" si="92">R187</f>
        <v>悪臭</v>
      </c>
      <c r="D187" s="1938">
        <f t="shared" si="91"/>
        <v>0.33333333333333337</v>
      </c>
      <c r="E187" s="1938">
        <f t="shared" si="91"/>
        <v>0</v>
      </c>
      <c r="G187" s="1939">
        <f t="shared" ref="G187:G194" si="93">K187*M187</f>
        <v>0.33333333333333337</v>
      </c>
      <c r="H187" s="1939">
        <f t="shared" ref="H187:H194" si="94">L187*N187</f>
        <v>0</v>
      </c>
      <c r="I187" s="1939"/>
      <c r="J187" s="1939"/>
      <c r="K187" s="1939">
        <f>IF(スコア!Q187=0,0,1)</f>
        <v>1</v>
      </c>
      <c r="L187" s="1939">
        <f>IF(スコア!T187=0,0,1)</f>
        <v>0</v>
      </c>
      <c r="M187" s="1939">
        <f t="shared" ref="M187:M194" si="95">SUMPRODUCT($S$7:$AB$7,S187:AB187)</f>
        <v>0.33333333333333337</v>
      </c>
      <c r="N187" s="1939">
        <f t="shared" si="78"/>
        <v>0</v>
      </c>
      <c r="P187" s="2033" t="str">
        <f t="shared" si="77"/>
        <v>3.1.3</v>
      </c>
      <c r="Q187" s="1940" t="str">
        <f t="shared" si="77"/>
        <v>LR3 3.1</v>
      </c>
      <c r="R187" s="1941" t="str">
        <f t="shared" si="77"/>
        <v>悪臭</v>
      </c>
      <c r="S187" s="1947">
        <f t="shared" si="76"/>
        <v>0.33333333333333331</v>
      </c>
      <c r="T187" s="1947">
        <f t="shared" si="76"/>
        <v>0.33333333333333331</v>
      </c>
      <c r="U187" s="1947">
        <f t="shared" si="76"/>
        <v>0.33333333333333331</v>
      </c>
      <c r="V187" s="1947">
        <f t="shared" si="76"/>
        <v>0.33333333333333331</v>
      </c>
      <c r="W187" s="1947">
        <f t="shared" si="76"/>
        <v>0.33333333333333331</v>
      </c>
      <c r="X187" s="1947">
        <f t="shared" si="83"/>
        <v>0.33333333333333331</v>
      </c>
      <c r="Y187" s="1947">
        <f t="shared" si="83"/>
        <v>0.33333333333333331</v>
      </c>
      <c r="Z187" s="1947">
        <f t="shared" si="83"/>
        <v>0.33333333333333331</v>
      </c>
      <c r="AA187" s="1947">
        <f t="shared" si="83"/>
        <v>0.33333333333333331</v>
      </c>
      <c r="AB187" s="1947">
        <f t="shared" si="83"/>
        <v>0.33333333333333331</v>
      </c>
      <c r="AC187" s="1943">
        <f t="shared" si="75"/>
        <v>0</v>
      </c>
      <c r="AD187" s="1942">
        <f t="shared" si="75"/>
        <v>0</v>
      </c>
      <c r="AE187" s="1942">
        <f t="shared" si="75"/>
        <v>0</v>
      </c>
      <c r="AG187" s="2033" t="s">
        <v>1406</v>
      </c>
      <c r="AH187" s="1940" t="s">
        <v>2062</v>
      </c>
      <c r="AI187" s="1941" t="s">
        <v>1816</v>
      </c>
      <c r="AJ187" s="1947">
        <v>0.33333333333333331</v>
      </c>
      <c r="AK187" s="1947">
        <v>0.33333333333333331</v>
      </c>
      <c r="AL187" s="1947">
        <v>0.33333333333333331</v>
      </c>
      <c r="AM187" s="1947">
        <v>0.33333333333333331</v>
      </c>
      <c r="AN187" s="1947">
        <v>0.33333333333333331</v>
      </c>
      <c r="AO187" s="1947">
        <v>0.33333333333333331</v>
      </c>
      <c r="AP187" s="1947">
        <v>0.33333333333333331</v>
      </c>
      <c r="AQ187" s="1947">
        <v>0.33333333333333331</v>
      </c>
      <c r="AR187" s="1947">
        <v>0.33333333333333331</v>
      </c>
      <c r="AS187" s="1947">
        <v>0.33333333333333331</v>
      </c>
      <c r="AT187" s="1948"/>
      <c r="AU187" s="1947"/>
      <c r="AV187" s="1947"/>
      <c r="AX187" s="2033" t="s">
        <v>1406</v>
      </c>
      <c r="AY187" s="1940" t="s">
        <v>2062</v>
      </c>
      <c r="AZ187" s="1941" t="s">
        <v>1816</v>
      </c>
      <c r="BA187" s="1947">
        <v>0.33333333333333331</v>
      </c>
      <c r="BB187" s="1947">
        <v>0.33333333333333331</v>
      </c>
      <c r="BC187" s="1947">
        <v>0.33333333333333331</v>
      </c>
      <c r="BD187" s="1947">
        <v>0.33333333333333331</v>
      </c>
      <c r="BE187" s="1947">
        <v>0.33333333333333331</v>
      </c>
      <c r="BF187" s="1947">
        <v>0.33333333333333331</v>
      </c>
      <c r="BG187" s="1947">
        <v>0.33333333333333331</v>
      </c>
      <c r="BH187" s="1947">
        <v>0.33333333333333331</v>
      </c>
      <c r="BI187" s="1947">
        <v>0.33333333333333331</v>
      </c>
      <c r="BJ187" s="1947">
        <v>0.33333333333333331</v>
      </c>
      <c r="BK187" s="1948"/>
      <c r="BL187" s="1947"/>
      <c r="BM187" s="1947"/>
      <c r="BO187" s="2033" t="s">
        <v>3677</v>
      </c>
      <c r="BP187" s="1940" t="s">
        <v>2062</v>
      </c>
      <c r="BQ187" s="1941" t="s">
        <v>3781</v>
      </c>
      <c r="BR187" s="1947">
        <v>0.33333333333333331</v>
      </c>
      <c r="BS187" s="1947">
        <v>0.33333333333333331</v>
      </c>
      <c r="BT187" s="1947">
        <v>0.33333333333333331</v>
      </c>
      <c r="BU187" s="1947">
        <v>0.33333333333333331</v>
      </c>
      <c r="BV187" s="1947">
        <v>0.33333333333333331</v>
      </c>
      <c r="BW187" s="1947">
        <v>0.33333333333333331</v>
      </c>
      <c r="BX187" s="1947">
        <v>0.33333333333333331</v>
      </c>
      <c r="BY187" s="1947">
        <v>0.33333333333333331</v>
      </c>
      <c r="BZ187" s="1947">
        <v>0.33333333333333331</v>
      </c>
      <c r="CA187" s="1947">
        <v>0.33333333333333331</v>
      </c>
      <c r="CB187" s="1947"/>
      <c r="CC187" s="1947"/>
      <c r="CD187" s="1947"/>
      <c r="CE187" s="2302"/>
      <c r="CG187" s="2033" t="s">
        <v>3635</v>
      </c>
      <c r="CH187" s="1940" t="s">
        <v>2062</v>
      </c>
      <c r="CI187" s="1941" t="s">
        <v>1816</v>
      </c>
      <c r="CJ187" s="2943">
        <f t="shared" si="68"/>
        <v>0.33333333333333331</v>
      </c>
      <c r="CK187" s="2943">
        <f t="shared" si="68"/>
        <v>0.33333333333333331</v>
      </c>
      <c r="CL187" s="2943">
        <f t="shared" si="68"/>
        <v>0.33333333333333331</v>
      </c>
      <c r="CM187" s="2943">
        <f t="shared" si="68"/>
        <v>0.33333333333333331</v>
      </c>
      <c r="CN187" s="2943">
        <f t="shared" si="68"/>
        <v>0.33333333333333331</v>
      </c>
      <c r="CO187" s="2943">
        <f t="shared" si="65"/>
        <v>0.33333333333333331</v>
      </c>
      <c r="CP187" s="2943">
        <f t="shared" si="65"/>
        <v>0.33333333333333331</v>
      </c>
      <c r="CQ187" s="2943">
        <f t="shared" si="65"/>
        <v>0.33333333333333331</v>
      </c>
      <c r="CR187" s="2943">
        <f t="shared" si="65"/>
        <v>0.33333333333333331</v>
      </c>
      <c r="CS187" s="2943">
        <f t="shared" si="65"/>
        <v>0.33333333333333331</v>
      </c>
      <c r="CT187" s="2943">
        <f t="shared" si="65"/>
        <v>0</v>
      </c>
      <c r="CU187" s="2943">
        <f t="shared" si="65"/>
        <v>0</v>
      </c>
      <c r="CV187" s="2943">
        <f t="shared" si="65"/>
        <v>0</v>
      </c>
      <c r="CW187" s="2445"/>
      <c r="CX187" s="2033" t="s">
        <v>3635</v>
      </c>
      <c r="CY187" s="1940" t="s">
        <v>2062</v>
      </c>
      <c r="CZ187" s="1941"/>
      <c r="DA187" s="2944">
        <v>0</v>
      </c>
      <c r="DB187" s="2945"/>
      <c r="DC187" s="2945"/>
      <c r="DD187" s="2945"/>
      <c r="DE187" s="2945"/>
      <c r="DF187" s="2945"/>
      <c r="DG187" s="2945"/>
      <c r="DH187" s="2945"/>
      <c r="DI187" s="2945"/>
      <c r="DJ187" s="2945"/>
      <c r="DK187" s="2945"/>
      <c r="DL187" s="2945"/>
      <c r="DM187" s="2945"/>
    </row>
    <row r="188" spans="1:117" ht="13.5" customHeight="1">
      <c r="B188" s="1914" t="str">
        <f t="shared" si="73"/>
        <v>3.2</v>
      </c>
      <c r="C188" s="1941" t="str">
        <f>R188</f>
        <v>風害・砂塵、日照阻害の抑制</v>
      </c>
      <c r="D188" s="1938">
        <f>IF(I$183=0,0,G188/I$183)</f>
        <v>0.4</v>
      </c>
      <c r="E188" s="1938">
        <f>IF(J$183=0,0,H188/J$183)</f>
        <v>0</v>
      </c>
      <c r="G188" s="1939">
        <f t="shared" si="93"/>
        <v>0.4</v>
      </c>
      <c r="H188" s="1939">
        <f t="shared" si="94"/>
        <v>0</v>
      </c>
      <c r="I188" s="1939">
        <f>SUM(G189:G191)</f>
        <v>1</v>
      </c>
      <c r="J188" s="1939">
        <f>SUM(H189:H191)</f>
        <v>0</v>
      </c>
      <c r="K188" s="1939">
        <f>IF(スコア!Q188=0,0,1)</f>
        <v>1</v>
      </c>
      <c r="L188" s="1939">
        <f>IF(スコア!T188=0,0,1)</f>
        <v>0</v>
      </c>
      <c r="M188" s="1939">
        <f t="shared" si="95"/>
        <v>0.4</v>
      </c>
      <c r="N188" s="1939">
        <f t="shared" si="78"/>
        <v>0</v>
      </c>
      <c r="P188" s="2032" t="str">
        <f t="shared" si="77"/>
        <v>3.2</v>
      </c>
      <c r="Q188" s="1944" t="str">
        <f t="shared" si="77"/>
        <v>LR3 3</v>
      </c>
      <c r="R188" s="1941" t="str">
        <f t="shared" si="77"/>
        <v>風害・砂塵、日照阻害の抑制</v>
      </c>
      <c r="S188" s="2002">
        <f t="shared" si="76"/>
        <v>0.4</v>
      </c>
      <c r="T188" s="2002">
        <f t="shared" si="76"/>
        <v>0.4</v>
      </c>
      <c r="U188" s="2002">
        <f t="shared" si="76"/>
        <v>0.4</v>
      </c>
      <c r="V188" s="2002">
        <f t="shared" si="76"/>
        <v>0.4</v>
      </c>
      <c r="W188" s="2002">
        <f t="shared" si="76"/>
        <v>0.4</v>
      </c>
      <c r="X188" s="2002">
        <f t="shared" si="83"/>
        <v>0.4</v>
      </c>
      <c r="Y188" s="2002">
        <f t="shared" si="83"/>
        <v>0.4</v>
      </c>
      <c r="Z188" s="2002">
        <f t="shared" si="83"/>
        <v>0.4</v>
      </c>
      <c r="AA188" s="2002">
        <f t="shared" si="83"/>
        <v>0.4</v>
      </c>
      <c r="AB188" s="2002">
        <f t="shared" si="83"/>
        <v>0.4</v>
      </c>
      <c r="AC188" s="2001">
        <f t="shared" si="75"/>
        <v>0</v>
      </c>
      <c r="AD188" s="2000">
        <f t="shared" si="75"/>
        <v>0</v>
      </c>
      <c r="AE188" s="2000">
        <f t="shared" si="75"/>
        <v>0</v>
      </c>
      <c r="AG188" s="2033" t="s">
        <v>1407</v>
      </c>
      <c r="AH188" s="1944" t="s">
        <v>2061</v>
      </c>
      <c r="AI188" s="1941" t="s">
        <v>3785</v>
      </c>
      <c r="AJ188" s="2002">
        <v>0.4</v>
      </c>
      <c r="AK188" s="2002">
        <v>0.4</v>
      </c>
      <c r="AL188" s="2002">
        <v>0.4</v>
      </c>
      <c r="AM188" s="2002">
        <v>0.4</v>
      </c>
      <c r="AN188" s="2002">
        <v>0.4</v>
      </c>
      <c r="AO188" s="2002">
        <v>0.4</v>
      </c>
      <c r="AP188" s="2002">
        <v>0.4</v>
      </c>
      <c r="AQ188" s="2002">
        <v>0.4</v>
      </c>
      <c r="AR188" s="2002">
        <v>0.4</v>
      </c>
      <c r="AS188" s="2002">
        <v>0.4</v>
      </c>
      <c r="AT188" s="2003"/>
      <c r="AU188" s="2002"/>
      <c r="AV188" s="2002"/>
      <c r="AX188" s="2033" t="s">
        <v>1407</v>
      </c>
      <c r="AY188" s="1944" t="s">
        <v>2061</v>
      </c>
      <c r="AZ188" s="1941" t="s">
        <v>3786</v>
      </c>
      <c r="BA188" s="2002">
        <v>0.4</v>
      </c>
      <c r="BB188" s="2002">
        <v>0.4</v>
      </c>
      <c r="BC188" s="2002">
        <v>0.4</v>
      </c>
      <c r="BD188" s="2002">
        <v>0.4</v>
      </c>
      <c r="BE188" s="2002">
        <v>0.4</v>
      </c>
      <c r="BF188" s="2002">
        <v>0.4</v>
      </c>
      <c r="BG188" s="2002">
        <v>0.4</v>
      </c>
      <c r="BH188" s="2002">
        <v>0.4</v>
      </c>
      <c r="BI188" s="2002">
        <v>0.4</v>
      </c>
      <c r="BJ188" s="2002">
        <v>0.4</v>
      </c>
      <c r="BK188" s="2003"/>
      <c r="BL188" s="2002"/>
      <c r="BM188" s="2002"/>
      <c r="BO188" s="2033" t="s">
        <v>3709</v>
      </c>
      <c r="BP188" s="1944" t="s">
        <v>2061</v>
      </c>
      <c r="BQ188" s="1941" t="s">
        <v>3636</v>
      </c>
      <c r="BR188" s="2002">
        <v>0.4</v>
      </c>
      <c r="BS188" s="2002">
        <v>0.4</v>
      </c>
      <c r="BT188" s="2002">
        <v>0.4</v>
      </c>
      <c r="BU188" s="2002">
        <v>0.4</v>
      </c>
      <c r="BV188" s="2002">
        <v>0.4</v>
      </c>
      <c r="BW188" s="2002">
        <v>0.4</v>
      </c>
      <c r="BX188" s="2002">
        <v>0.4</v>
      </c>
      <c r="BY188" s="2002">
        <v>0.4</v>
      </c>
      <c r="BZ188" s="2002">
        <v>0.4</v>
      </c>
      <c r="CA188" s="2002">
        <v>0.4</v>
      </c>
      <c r="CB188" s="2003"/>
      <c r="CC188" s="2002"/>
      <c r="CD188" s="2002"/>
      <c r="CE188" s="2305"/>
      <c r="CG188" s="2033" t="s">
        <v>3616</v>
      </c>
      <c r="CH188" s="1944" t="s">
        <v>2061</v>
      </c>
      <c r="CI188" s="1941" t="s">
        <v>3636</v>
      </c>
      <c r="CJ188" s="2979">
        <f t="shared" si="68"/>
        <v>0.4</v>
      </c>
      <c r="CK188" s="2979">
        <f t="shared" si="68"/>
        <v>0.4</v>
      </c>
      <c r="CL188" s="2979">
        <f t="shared" si="68"/>
        <v>0.4</v>
      </c>
      <c r="CM188" s="2979">
        <f t="shared" si="68"/>
        <v>0.4</v>
      </c>
      <c r="CN188" s="2979">
        <f t="shared" si="68"/>
        <v>0.4</v>
      </c>
      <c r="CO188" s="2979">
        <f t="shared" si="65"/>
        <v>0.4</v>
      </c>
      <c r="CP188" s="2979">
        <f t="shared" si="65"/>
        <v>0.4</v>
      </c>
      <c r="CQ188" s="2979">
        <f t="shared" si="65"/>
        <v>0.4</v>
      </c>
      <c r="CR188" s="2979">
        <f t="shared" si="65"/>
        <v>0.4</v>
      </c>
      <c r="CS188" s="2979">
        <f t="shared" si="65"/>
        <v>0.4</v>
      </c>
      <c r="CT188" s="2980">
        <f t="shared" si="65"/>
        <v>0</v>
      </c>
      <c r="CU188" s="2979">
        <f t="shared" si="65"/>
        <v>0</v>
      </c>
      <c r="CV188" s="2979">
        <f t="shared" si="65"/>
        <v>0</v>
      </c>
      <c r="CW188" s="2445"/>
      <c r="CX188" s="2033" t="s">
        <v>3616</v>
      </c>
      <c r="CY188" s="1944" t="s">
        <v>2061</v>
      </c>
      <c r="CZ188" s="1941"/>
      <c r="DA188" s="2944">
        <v>0</v>
      </c>
      <c r="DB188" s="2982"/>
      <c r="DC188" s="2982"/>
      <c r="DD188" s="2982"/>
      <c r="DE188" s="2982"/>
      <c r="DF188" s="2982"/>
      <c r="DG188" s="2982"/>
      <c r="DH188" s="2982"/>
      <c r="DI188" s="2982"/>
      <c r="DJ188" s="2982"/>
      <c r="DK188" s="2983"/>
      <c r="DL188" s="2982"/>
      <c r="DM188" s="2982"/>
    </row>
    <row r="189" spans="1:117" ht="13.5" customHeight="1">
      <c r="B189" s="1914" t="str">
        <f t="shared" ref="B189:B194" si="96">P189</f>
        <v>3.2.1</v>
      </c>
      <c r="C189" s="2034" t="str">
        <f t="shared" si="92"/>
        <v>風害の抑制</v>
      </c>
      <c r="D189" s="1938">
        <f t="shared" ref="D189:E191" si="97">IF(I$188=0,0,G189/I$188)</f>
        <v>0.7</v>
      </c>
      <c r="E189" s="1938">
        <f t="shared" si="97"/>
        <v>0</v>
      </c>
      <c r="G189" s="1939">
        <f t="shared" si="93"/>
        <v>0.7</v>
      </c>
      <c r="H189" s="1939">
        <f t="shared" si="94"/>
        <v>0</v>
      </c>
      <c r="I189" s="1939"/>
      <c r="J189" s="1939"/>
      <c r="K189" s="1939">
        <f>IF(スコア!Q189=0,0,1)</f>
        <v>1</v>
      </c>
      <c r="L189" s="1939">
        <f>IF(スコア!T189=0,0,1)</f>
        <v>0</v>
      </c>
      <c r="M189" s="1939">
        <f t="shared" si="95"/>
        <v>0.7</v>
      </c>
      <c r="N189" s="1939">
        <f t="shared" si="78"/>
        <v>0</v>
      </c>
      <c r="P189" s="2033" t="str">
        <f t="shared" si="77"/>
        <v>3.2.1</v>
      </c>
      <c r="Q189" s="1944" t="str">
        <f t="shared" si="77"/>
        <v>LR3 3.2</v>
      </c>
      <c r="R189" s="2034" t="str">
        <f t="shared" si="77"/>
        <v>風害の抑制</v>
      </c>
      <c r="S189" s="1947">
        <f t="shared" si="76"/>
        <v>0.7</v>
      </c>
      <c r="T189" s="1947">
        <f t="shared" si="76"/>
        <v>0.7</v>
      </c>
      <c r="U189" s="1947">
        <f t="shared" si="76"/>
        <v>0.7</v>
      </c>
      <c r="V189" s="1947">
        <f t="shared" si="76"/>
        <v>0.7</v>
      </c>
      <c r="W189" s="1947">
        <f t="shared" si="76"/>
        <v>0.7</v>
      </c>
      <c r="X189" s="1947">
        <f t="shared" si="83"/>
        <v>0.7</v>
      </c>
      <c r="Y189" s="1947">
        <f t="shared" si="83"/>
        <v>0.7</v>
      </c>
      <c r="Z189" s="1947">
        <f t="shared" si="83"/>
        <v>0.7</v>
      </c>
      <c r="AA189" s="1947">
        <f t="shared" si="83"/>
        <v>0.7</v>
      </c>
      <c r="AB189" s="1947">
        <f t="shared" si="83"/>
        <v>0.6</v>
      </c>
      <c r="AC189" s="2001">
        <f t="shared" si="75"/>
        <v>0</v>
      </c>
      <c r="AD189" s="2000">
        <f t="shared" si="75"/>
        <v>0</v>
      </c>
      <c r="AE189" s="2000">
        <f t="shared" si="75"/>
        <v>0</v>
      </c>
      <c r="AG189" s="2033" t="s">
        <v>1408</v>
      </c>
      <c r="AH189" s="1944" t="s">
        <v>1817</v>
      </c>
      <c r="AI189" s="2034" t="s">
        <v>1409</v>
      </c>
      <c r="AJ189" s="1947">
        <v>0.7</v>
      </c>
      <c r="AK189" s="1947">
        <v>0.7</v>
      </c>
      <c r="AL189" s="1947">
        <v>0.7</v>
      </c>
      <c r="AM189" s="1947">
        <v>0.7</v>
      </c>
      <c r="AN189" s="1947">
        <v>0.7</v>
      </c>
      <c r="AO189" s="1947">
        <v>0.7</v>
      </c>
      <c r="AP189" s="1947">
        <v>0.7</v>
      </c>
      <c r="AQ189" s="1947">
        <v>0.7</v>
      </c>
      <c r="AR189" s="1947">
        <v>0.7</v>
      </c>
      <c r="AS189" s="1964">
        <v>0.6</v>
      </c>
      <c r="AT189" s="2003"/>
      <c r="AU189" s="2002"/>
      <c r="AV189" s="2002"/>
      <c r="AX189" s="2033" t="s">
        <v>1408</v>
      </c>
      <c r="AY189" s="1944" t="s">
        <v>1817</v>
      </c>
      <c r="AZ189" s="2034" t="s">
        <v>1409</v>
      </c>
      <c r="BA189" s="1947">
        <v>0.7</v>
      </c>
      <c r="BB189" s="1947">
        <v>0.7</v>
      </c>
      <c r="BC189" s="1947">
        <v>0.7</v>
      </c>
      <c r="BD189" s="1947">
        <v>0.7</v>
      </c>
      <c r="BE189" s="1947">
        <v>0.7</v>
      </c>
      <c r="BF189" s="1947">
        <v>0.7</v>
      </c>
      <c r="BG189" s="1947">
        <v>0.7</v>
      </c>
      <c r="BH189" s="1947">
        <v>0.7</v>
      </c>
      <c r="BI189" s="1947">
        <v>0.7</v>
      </c>
      <c r="BJ189" s="2002">
        <v>0.6</v>
      </c>
      <c r="BK189" s="2003"/>
      <c r="BL189" s="2002"/>
      <c r="BM189" s="2002"/>
      <c r="BO189" s="2033" t="s">
        <v>3678</v>
      </c>
      <c r="BP189" s="1944" t="s">
        <v>1817</v>
      </c>
      <c r="BQ189" s="2034" t="s">
        <v>3666</v>
      </c>
      <c r="BR189" s="1947">
        <v>0.7</v>
      </c>
      <c r="BS189" s="1947">
        <v>0.7</v>
      </c>
      <c r="BT189" s="1947">
        <v>0.7</v>
      </c>
      <c r="BU189" s="1947">
        <v>0.7</v>
      </c>
      <c r="BV189" s="1947">
        <v>0.7</v>
      </c>
      <c r="BW189" s="1947">
        <v>0.7</v>
      </c>
      <c r="BX189" s="1947">
        <v>0.7</v>
      </c>
      <c r="BY189" s="1947">
        <v>0.7</v>
      </c>
      <c r="BZ189" s="1947">
        <v>0.7</v>
      </c>
      <c r="CA189" s="2002">
        <v>0.6</v>
      </c>
      <c r="CB189" s="2003"/>
      <c r="CC189" s="2002"/>
      <c r="CD189" s="2002"/>
      <c r="CE189" s="2305"/>
      <c r="CG189" s="2033" t="s">
        <v>3617</v>
      </c>
      <c r="CH189" s="1944" t="s">
        <v>1817</v>
      </c>
      <c r="CI189" s="2034" t="s">
        <v>3637</v>
      </c>
      <c r="CJ189" s="2943">
        <f t="shared" si="68"/>
        <v>0.7</v>
      </c>
      <c r="CK189" s="2943">
        <f t="shared" si="68"/>
        <v>0.7</v>
      </c>
      <c r="CL189" s="2943">
        <f t="shared" si="68"/>
        <v>0.7</v>
      </c>
      <c r="CM189" s="2943">
        <f t="shared" si="68"/>
        <v>0.7</v>
      </c>
      <c r="CN189" s="2943">
        <f t="shared" si="68"/>
        <v>0.7</v>
      </c>
      <c r="CO189" s="2943">
        <f t="shared" si="65"/>
        <v>0.7</v>
      </c>
      <c r="CP189" s="2943">
        <f t="shared" si="65"/>
        <v>0.7</v>
      </c>
      <c r="CQ189" s="2943">
        <f t="shared" si="65"/>
        <v>0.7</v>
      </c>
      <c r="CR189" s="2943">
        <f t="shared" si="65"/>
        <v>0.7</v>
      </c>
      <c r="CS189" s="2979">
        <f t="shared" si="65"/>
        <v>0.6</v>
      </c>
      <c r="CT189" s="2980">
        <f t="shared" si="65"/>
        <v>0</v>
      </c>
      <c r="CU189" s="2979">
        <f t="shared" si="65"/>
        <v>0</v>
      </c>
      <c r="CV189" s="2979">
        <f t="shared" si="65"/>
        <v>0</v>
      </c>
      <c r="CW189" s="2445"/>
      <c r="CX189" s="2033" t="s">
        <v>3617</v>
      </c>
      <c r="CY189" s="1944" t="s">
        <v>1817</v>
      </c>
      <c r="CZ189" s="2034"/>
      <c r="DA189" s="2944">
        <v>0</v>
      </c>
      <c r="DB189" s="2945"/>
      <c r="DC189" s="2945"/>
      <c r="DD189" s="2945"/>
      <c r="DE189" s="2945"/>
      <c r="DF189" s="2945"/>
      <c r="DG189" s="2945"/>
      <c r="DH189" s="2945"/>
      <c r="DI189" s="2945"/>
      <c r="DJ189" s="2982"/>
      <c r="DK189" s="2983"/>
      <c r="DL189" s="2982"/>
      <c r="DM189" s="2982"/>
    </row>
    <row r="190" spans="1:117" ht="13.5" customHeight="1">
      <c r="B190" s="1914" t="str">
        <f t="shared" si="96"/>
        <v>3.2.2</v>
      </c>
      <c r="C190" s="2034" t="str">
        <f t="shared" si="92"/>
        <v>砂塵の抑制</v>
      </c>
      <c r="D190" s="1938">
        <f t="shared" si="97"/>
        <v>0</v>
      </c>
      <c r="E190" s="1938">
        <f t="shared" si="97"/>
        <v>0</v>
      </c>
      <c r="G190" s="1939">
        <f t="shared" si="93"/>
        <v>0</v>
      </c>
      <c r="H190" s="1939">
        <f t="shared" si="94"/>
        <v>0</v>
      </c>
      <c r="I190" s="1939"/>
      <c r="J190" s="1939"/>
      <c r="K190" s="1939">
        <f>IF(スコア!Q190=0,0,1)</f>
        <v>0</v>
      </c>
      <c r="L190" s="1939">
        <f>IF(スコア!T190=0,0,1)</f>
        <v>0</v>
      </c>
      <c r="M190" s="1939">
        <f t="shared" si="95"/>
        <v>0</v>
      </c>
      <c r="N190" s="1939">
        <f t="shared" si="78"/>
        <v>0</v>
      </c>
      <c r="P190" s="2033" t="str">
        <f t="shared" si="77"/>
        <v>3.2.2</v>
      </c>
      <c r="Q190" s="1944" t="str">
        <f t="shared" si="77"/>
        <v>LR3 3.2</v>
      </c>
      <c r="R190" s="2034" t="str">
        <f t="shared" si="77"/>
        <v>砂塵の抑制</v>
      </c>
      <c r="S190" s="1947">
        <f t="shared" si="76"/>
        <v>0</v>
      </c>
      <c r="T190" s="1947">
        <f t="shared" si="76"/>
        <v>0</v>
      </c>
      <c r="U190" s="1947">
        <f t="shared" si="76"/>
        <v>0</v>
      </c>
      <c r="V190" s="1947">
        <f t="shared" si="76"/>
        <v>0</v>
      </c>
      <c r="W190" s="1947">
        <f t="shared" si="76"/>
        <v>0</v>
      </c>
      <c r="X190" s="1947">
        <f t="shared" si="83"/>
        <v>0</v>
      </c>
      <c r="Y190" s="1947">
        <f t="shared" si="83"/>
        <v>0</v>
      </c>
      <c r="Z190" s="1947">
        <f t="shared" si="83"/>
        <v>0</v>
      </c>
      <c r="AA190" s="1947">
        <f t="shared" si="83"/>
        <v>0</v>
      </c>
      <c r="AB190" s="1947">
        <f t="shared" si="83"/>
        <v>0.2</v>
      </c>
      <c r="AC190" s="2001">
        <f t="shared" si="75"/>
        <v>0</v>
      </c>
      <c r="AD190" s="2000">
        <f t="shared" si="75"/>
        <v>0</v>
      </c>
      <c r="AE190" s="2000">
        <f t="shared" si="75"/>
        <v>0</v>
      </c>
      <c r="AG190" s="2033" t="s">
        <v>2091</v>
      </c>
      <c r="AH190" s="1944" t="s">
        <v>1818</v>
      </c>
      <c r="AI190" s="2034" t="s">
        <v>818</v>
      </c>
      <c r="AJ190" s="1947"/>
      <c r="AK190" s="1947"/>
      <c r="AL190" s="1947"/>
      <c r="AM190" s="1947"/>
      <c r="AN190" s="1947"/>
      <c r="AO190" s="1947"/>
      <c r="AP190" s="1947"/>
      <c r="AQ190" s="1947"/>
      <c r="AR190" s="1947"/>
      <c r="AS190" s="1964">
        <v>0.2</v>
      </c>
      <c r="AT190" s="2003"/>
      <c r="AU190" s="2002"/>
      <c r="AV190" s="2002"/>
      <c r="AX190" s="2033" t="s">
        <v>1410</v>
      </c>
      <c r="AY190" s="1944" t="s">
        <v>1411</v>
      </c>
      <c r="AZ190" s="2034" t="s">
        <v>818</v>
      </c>
      <c r="BA190" s="1947"/>
      <c r="BB190" s="1947"/>
      <c r="BC190" s="1947"/>
      <c r="BD190" s="1947"/>
      <c r="BE190" s="1947"/>
      <c r="BF190" s="1947"/>
      <c r="BG190" s="1947"/>
      <c r="BH190" s="1947"/>
      <c r="BI190" s="1947"/>
      <c r="BJ190" s="2002">
        <v>0.2</v>
      </c>
      <c r="BK190" s="2003"/>
      <c r="BL190" s="2002"/>
      <c r="BM190" s="2002"/>
      <c r="BO190" s="2033" t="s">
        <v>3679</v>
      </c>
      <c r="BP190" s="1944" t="s">
        <v>1817</v>
      </c>
      <c r="BQ190" s="2034" t="s">
        <v>3782</v>
      </c>
      <c r="BR190" s="1947"/>
      <c r="BS190" s="1947"/>
      <c r="BT190" s="1947"/>
      <c r="BU190" s="1947"/>
      <c r="BV190" s="1947"/>
      <c r="BW190" s="1947"/>
      <c r="BX190" s="1947"/>
      <c r="BY190" s="1947"/>
      <c r="BZ190" s="1947"/>
      <c r="CA190" s="2002">
        <v>0.2</v>
      </c>
      <c r="CB190" s="2003"/>
      <c r="CC190" s="2002"/>
      <c r="CD190" s="2002"/>
      <c r="CE190" s="2305"/>
      <c r="CG190" s="2033" t="s">
        <v>3619</v>
      </c>
      <c r="CH190" s="1944" t="s">
        <v>3638</v>
      </c>
      <c r="CI190" s="2034" t="s">
        <v>818</v>
      </c>
      <c r="CJ190" s="2943">
        <f t="shared" si="68"/>
        <v>0</v>
      </c>
      <c r="CK190" s="2943">
        <f t="shared" si="68"/>
        <v>0</v>
      </c>
      <c r="CL190" s="2943">
        <f t="shared" si="68"/>
        <v>0</v>
      </c>
      <c r="CM190" s="2943">
        <f t="shared" si="68"/>
        <v>0</v>
      </c>
      <c r="CN190" s="2943">
        <f t="shared" si="68"/>
        <v>0</v>
      </c>
      <c r="CO190" s="2943">
        <f t="shared" si="65"/>
        <v>0</v>
      </c>
      <c r="CP190" s="2943">
        <f t="shared" si="65"/>
        <v>0</v>
      </c>
      <c r="CQ190" s="2943">
        <f t="shared" si="65"/>
        <v>0</v>
      </c>
      <c r="CR190" s="2943">
        <f t="shared" si="65"/>
        <v>0</v>
      </c>
      <c r="CS190" s="2979">
        <f t="shared" si="65"/>
        <v>0.2</v>
      </c>
      <c r="CT190" s="2980">
        <f t="shared" si="65"/>
        <v>0</v>
      </c>
      <c r="CU190" s="2979">
        <f t="shared" si="65"/>
        <v>0</v>
      </c>
      <c r="CV190" s="2979">
        <f t="shared" si="65"/>
        <v>0</v>
      </c>
      <c r="CW190" s="2445"/>
      <c r="CX190" s="2033" t="s">
        <v>3619</v>
      </c>
      <c r="CY190" s="1944" t="s">
        <v>3638</v>
      </c>
      <c r="CZ190" s="2034"/>
      <c r="DA190" s="2945">
        <f t="shared" si="66"/>
        <v>0</v>
      </c>
      <c r="DB190" s="2945"/>
      <c r="DC190" s="2945"/>
      <c r="DD190" s="2945"/>
      <c r="DE190" s="2945"/>
      <c r="DF190" s="2945"/>
      <c r="DG190" s="2945"/>
      <c r="DH190" s="2945"/>
      <c r="DI190" s="2945"/>
      <c r="DJ190" s="2982"/>
      <c r="DK190" s="2983"/>
      <c r="DL190" s="2982"/>
      <c r="DM190" s="2982"/>
    </row>
    <row r="191" spans="1:117" ht="13.5" customHeight="1">
      <c r="B191" s="1914" t="str">
        <f t="shared" si="96"/>
        <v>3.2.3</v>
      </c>
      <c r="C191" s="2034" t="str">
        <f t="shared" si="92"/>
        <v>日照阻害の抑制</v>
      </c>
      <c r="D191" s="1938">
        <f t="shared" si="97"/>
        <v>0.3</v>
      </c>
      <c r="E191" s="1938">
        <f t="shared" si="97"/>
        <v>0</v>
      </c>
      <c r="G191" s="1939">
        <f t="shared" si="93"/>
        <v>0.3</v>
      </c>
      <c r="H191" s="1939">
        <f t="shared" si="94"/>
        <v>0</v>
      </c>
      <c r="I191" s="1939"/>
      <c r="J191" s="1939"/>
      <c r="K191" s="1939">
        <f>IF(スコア!Q191=0,0,1)</f>
        <v>1</v>
      </c>
      <c r="L191" s="1939">
        <f>IF(スコア!T191=0,0,1)</f>
        <v>0</v>
      </c>
      <c r="M191" s="1939">
        <f t="shared" si="95"/>
        <v>0.3</v>
      </c>
      <c r="N191" s="1939">
        <f t="shared" si="78"/>
        <v>0</v>
      </c>
      <c r="P191" s="2033" t="str">
        <f t="shared" si="77"/>
        <v>3.2.3</v>
      </c>
      <c r="Q191" s="1944" t="str">
        <f t="shared" si="77"/>
        <v>LR3 3.2</v>
      </c>
      <c r="R191" s="2034" t="str">
        <f t="shared" si="77"/>
        <v>日照阻害の抑制</v>
      </c>
      <c r="S191" s="1947">
        <f t="shared" si="76"/>
        <v>0.3</v>
      </c>
      <c r="T191" s="1947">
        <f t="shared" si="76"/>
        <v>0.3</v>
      </c>
      <c r="U191" s="1947">
        <f t="shared" si="76"/>
        <v>0.3</v>
      </c>
      <c r="V191" s="1947">
        <f t="shared" si="76"/>
        <v>0.3</v>
      </c>
      <c r="W191" s="1947">
        <f t="shared" si="76"/>
        <v>0.3</v>
      </c>
      <c r="X191" s="1947">
        <f t="shared" si="83"/>
        <v>0.3</v>
      </c>
      <c r="Y191" s="1947">
        <f t="shared" si="83"/>
        <v>0.3</v>
      </c>
      <c r="Z191" s="1947">
        <f t="shared" si="83"/>
        <v>0.3</v>
      </c>
      <c r="AA191" s="1947">
        <f t="shared" si="83"/>
        <v>0.3</v>
      </c>
      <c r="AB191" s="1947">
        <f t="shared" si="83"/>
        <v>0.2</v>
      </c>
      <c r="AC191" s="2001">
        <f t="shared" si="75"/>
        <v>0</v>
      </c>
      <c r="AD191" s="2000">
        <f t="shared" si="75"/>
        <v>0</v>
      </c>
      <c r="AE191" s="2000">
        <f t="shared" si="75"/>
        <v>0</v>
      </c>
      <c r="AG191" s="2033" t="s">
        <v>1410</v>
      </c>
      <c r="AH191" s="1944" t="s">
        <v>1817</v>
      </c>
      <c r="AI191" s="2034" t="s">
        <v>1593</v>
      </c>
      <c r="AJ191" s="1947">
        <v>0.3</v>
      </c>
      <c r="AK191" s="1947">
        <v>0.3</v>
      </c>
      <c r="AL191" s="1947">
        <v>0.3</v>
      </c>
      <c r="AM191" s="1947">
        <v>0.3</v>
      </c>
      <c r="AN191" s="1947">
        <v>0.3</v>
      </c>
      <c r="AO191" s="1947">
        <v>0.3</v>
      </c>
      <c r="AP191" s="1947">
        <v>0.3</v>
      </c>
      <c r="AQ191" s="1947">
        <v>0.3</v>
      </c>
      <c r="AR191" s="1947">
        <v>0.3</v>
      </c>
      <c r="AS191" s="1964">
        <v>0.2</v>
      </c>
      <c r="AT191" s="2003"/>
      <c r="AU191" s="2002"/>
      <c r="AV191" s="2002"/>
      <c r="AX191" s="2033" t="s">
        <v>1412</v>
      </c>
      <c r="AY191" s="1944" t="s">
        <v>1817</v>
      </c>
      <c r="AZ191" s="2034" t="s">
        <v>1593</v>
      </c>
      <c r="BA191" s="1947">
        <v>0.3</v>
      </c>
      <c r="BB191" s="1947">
        <v>0.3</v>
      </c>
      <c r="BC191" s="1947">
        <v>0.3</v>
      </c>
      <c r="BD191" s="1947">
        <v>0.3</v>
      </c>
      <c r="BE191" s="1947">
        <v>0.3</v>
      </c>
      <c r="BF191" s="1947">
        <v>0.3</v>
      </c>
      <c r="BG191" s="1947">
        <v>0.3</v>
      </c>
      <c r="BH191" s="1947">
        <v>0.3</v>
      </c>
      <c r="BI191" s="1947">
        <v>0.3</v>
      </c>
      <c r="BJ191" s="2002">
        <v>0.2</v>
      </c>
      <c r="BK191" s="2003"/>
      <c r="BL191" s="2002"/>
      <c r="BM191" s="2002"/>
      <c r="BO191" s="2033" t="s">
        <v>2091</v>
      </c>
      <c r="BP191" s="1944" t="s">
        <v>1817</v>
      </c>
      <c r="BQ191" s="2034" t="s">
        <v>3667</v>
      </c>
      <c r="BR191" s="1947">
        <v>0.3</v>
      </c>
      <c r="BS191" s="1947">
        <v>0.3</v>
      </c>
      <c r="BT191" s="1947">
        <v>0.3</v>
      </c>
      <c r="BU191" s="1947">
        <v>0.3</v>
      </c>
      <c r="BV191" s="1947">
        <v>0.3</v>
      </c>
      <c r="BW191" s="1947">
        <v>0.3</v>
      </c>
      <c r="BX191" s="1947">
        <v>0.3</v>
      </c>
      <c r="BY191" s="1947">
        <v>0.3</v>
      </c>
      <c r="BZ191" s="1947">
        <v>0.3</v>
      </c>
      <c r="CA191" s="2002">
        <v>0.2</v>
      </c>
      <c r="CB191" s="2003"/>
      <c r="CC191" s="2002"/>
      <c r="CD191" s="2002"/>
      <c r="CE191" s="2305"/>
      <c r="CG191" s="2033" t="s">
        <v>3621</v>
      </c>
      <c r="CH191" s="1944" t="s">
        <v>1817</v>
      </c>
      <c r="CI191" s="2034" t="s">
        <v>3639</v>
      </c>
      <c r="CJ191" s="2943">
        <f t="shared" si="68"/>
        <v>0.3</v>
      </c>
      <c r="CK191" s="2943">
        <f t="shared" si="68"/>
        <v>0.3</v>
      </c>
      <c r="CL191" s="2943">
        <f t="shared" si="68"/>
        <v>0.3</v>
      </c>
      <c r="CM191" s="2943">
        <f t="shared" si="68"/>
        <v>0.3</v>
      </c>
      <c r="CN191" s="2943">
        <f t="shared" si="68"/>
        <v>0.3</v>
      </c>
      <c r="CO191" s="2943">
        <f t="shared" si="65"/>
        <v>0.3</v>
      </c>
      <c r="CP191" s="2943">
        <f t="shared" si="65"/>
        <v>0.3</v>
      </c>
      <c r="CQ191" s="2943">
        <f t="shared" si="65"/>
        <v>0.3</v>
      </c>
      <c r="CR191" s="2943">
        <f t="shared" si="65"/>
        <v>0.3</v>
      </c>
      <c r="CS191" s="2979">
        <f t="shared" si="65"/>
        <v>0.2</v>
      </c>
      <c r="CT191" s="2980">
        <f t="shared" si="65"/>
        <v>0</v>
      </c>
      <c r="CU191" s="2979">
        <f t="shared" si="65"/>
        <v>0</v>
      </c>
      <c r="CV191" s="2979">
        <f t="shared" si="65"/>
        <v>0</v>
      </c>
      <c r="CW191" s="2445"/>
      <c r="CX191" s="2033" t="s">
        <v>3621</v>
      </c>
      <c r="CY191" s="1944" t="s">
        <v>1817</v>
      </c>
      <c r="CZ191" s="2034"/>
      <c r="DA191" s="2944">
        <v>0</v>
      </c>
      <c r="DB191" s="2945"/>
      <c r="DC191" s="2945"/>
      <c r="DD191" s="2945"/>
      <c r="DE191" s="2945"/>
      <c r="DF191" s="2945"/>
      <c r="DG191" s="2945"/>
      <c r="DH191" s="2945"/>
      <c r="DI191" s="2945"/>
      <c r="DJ191" s="2982"/>
      <c r="DK191" s="2983"/>
      <c r="DL191" s="2982"/>
      <c r="DM191" s="2982"/>
    </row>
    <row r="192" spans="1:117" ht="13.5" customHeight="1">
      <c r="B192" s="1914" t="str">
        <f t="shared" si="96"/>
        <v>3.3</v>
      </c>
      <c r="C192" s="1941" t="str">
        <f t="shared" si="92"/>
        <v>光害の抑制</v>
      </c>
      <c r="D192" s="1938">
        <f>IF(I$183=0,0,G192/I$183)</f>
        <v>0.2</v>
      </c>
      <c r="E192" s="1938">
        <f>IF(J$183=0,0,H192/J$183)</f>
        <v>0</v>
      </c>
      <c r="G192" s="1939">
        <f t="shared" si="93"/>
        <v>0.2</v>
      </c>
      <c r="H192" s="1939">
        <f t="shared" si="94"/>
        <v>0</v>
      </c>
      <c r="I192" s="1939">
        <f>SUM(G193:G194)</f>
        <v>1</v>
      </c>
      <c r="J192" s="1939">
        <f>SUM(H193:H194)</f>
        <v>0</v>
      </c>
      <c r="K192" s="1939">
        <f>IF(スコア!Q192=0,0,1)</f>
        <v>1</v>
      </c>
      <c r="L192" s="1939">
        <f>IF(スコア!T192=0,0,1)</f>
        <v>0</v>
      </c>
      <c r="M192" s="1939">
        <f t="shared" si="95"/>
        <v>0.2</v>
      </c>
      <c r="N192" s="1939">
        <f t="shared" si="78"/>
        <v>0</v>
      </c>
      <c r="P192" s="2032" t="str">
        <f t="shared" si="77"/>
        <v>3.3</v>
      </c>
      <c r="Q192" s="1944" t="str">
        <f t="shared" si="77"/>
        <v>LR3 3</v>
      </c>
      <c r="R192" s="1941" t="str">
        <f t="shared" si="77"/>
        <v>光害の抑制</v>
      </c>
      <c r="S192" s="2002">
        <f t="shared" si="76"/>
        <v>0.2</v>
      </c>
      <c r="T192" s="2002">
        <f t="shared" si="76"/>
        <v>0.2</v>
      </c>
      <c r="U192" s="2002">
        <f t="shared" si="76"/>
        <v>0.2</v>
      </c>
      <c r="V192" s="2002">
        <f t="shared" si="76"/>
        <v>0.2</v>
      </c>
      <c r="W192" s="2002">
        <f t="shared" si="76"/>
        <v>0.2</v>
      </c>
      <c r="X192" s="2002">
        <f t="shared" si="83"/>
        <v>0.2</v>
      </c>
      <c r="Y192" s="2002">
        <f t="shared" si="83"/>
        <v>0.2</v>
      </c>
      <c r="Z192" s="2002">
        <f t="shared" si="83"/>
        <v>0.2</v>
      </c>
      <c r="AA192" s="2002">
        <f t="shared" si="83"/>
        <v>0.2</v>
      </c>
      <c r="AB192" s="2002">
        <f t="shared" si="83"/>
        <v>0.2</v>
      </c>
      <c r="AC192" s="2001">
        <f t="shared" si="75"/>
        <v>0</v>
      </c>
      <c r="AD192" s="2000">
        <f t="shared" si="75"/>
        <v>0</v>
      </c>
      <c r="AE192" s="2000">
        <f t="shared" si="75"/>
        <v>0</v>
      </c>
      <c r="AG192" s="2033" t="s">
        <v>1413</v>
      </c>
      <c r="AH192" s="1944" t="s">
        <v>2061</v>
      </c>
      <c r="AI192" s="2034" t="s">
        <v>1819</v>
      </c>
      <c r="AJ192" s="1947">
        <v>0.2</v>
      </c>
      <c r="AK192" s="1947">
        <v>0.2</v>
      </c>
      <c r="AL192" s="1947">
        <v>0.2</v>
      </c>
      <c r="AM192" s="1947">
        <v>0.2</v>
      </c>
      <c r="AN192" s="1947">
        <v>0.2</v>
      </c>
      <c r="AO192" s="1947">
        <v>0.2</v>
      </c>
      <c r="AP192" s="1947">
        <v>0.2</v>
      </c>
      <c r="AQ192" s="1947">
        <v>0.2</v>
      </c>
      <c r="AR192" s="1947">
        <v>0.2</v>
      </c>
      <c r="AS192" s="2002">
        <v>0.2</v>
      </c>
      <c r="AT192" s="2003"/>
      <c r="AU192" s="2002"/>
      <c r="AV192" s="2002"/>
      <c r="AX192" s="2033" t="s">
        <v>1413</v>
      </c>
      <c r="AY192" s="1944" t="s">
        <v>2061</v>
      </c>
      <c r="AZ192" s="2034" t="s">
        <v>1819</v>
      </c>
      <c r="BA192" s="2002">
        <v>0.2</v>
      </c>
      <c r="BB192" s="2002">
        <v>0.2</v>
      </c>
      <c r="BC192" s="2002">
        <v>0.2</v>
      </c>
      <c r="BD192" s="2002">
        <v>0.2</v>
      </c>
      <c r="BE192" s="2002">
        <v>0.2</v>
      </c>
      <c r="BF192" s="2002">
        <v>0.2</v>
      </c>
      <c r="BG192" s="2002">
        <v>0.2</v>
      </c>
      <c r="BH192" s="2002">
        <v>0.2</v>
      </c>
      <c r="BI192" s="2002">
        <v>0.2</v>
      </c>
      <c r="BJ192" s="2002">
        <v>0.2</v>
      </c>
      <c r="BK192" s="2003"/>
      <c r="BL192" s="2002"/>
      <c r="BM192" s="2002"/>
      <c r="BO192" s="2033" t="s">
        <v>3725</v>
      </c>
      <c r="BP192" s="1944" t="s">
        <v>2061</v>
      </c>
      <c r="BQ192" s="2034" t="s">
        <v>3783</v>
      </c>
      <c r="BR192" s="2002">
        <v>0.2</v>
      </c>
      <c r="BS192" s="2002">
        <v>0.2</v>
      </c>
      <c r="BT192" s="2002">
        <v>0.2</v>
      </c>
      <c r="BU192" s="2002">
        <v>0.2</v>
      </c>
      <c r="BV192" s="2002">
        <v>0.2</v>
      </c>
      <c r="BW192" s="2002">
        <v>0.2</v>
      </c>
      <c r="BX192" s="2002">
        <v>0.2</v>
      </c>
      <c r="BY192" s="2002">
        <v>0.2</v>
      </c>
      <c r="BZ192" s="2002">
        <v>0.2</v>
      </c>
      <c r="CA192" s="2002">
        <v>0.2</v>
      </c>
      <c r="CB192" s="2003"/>
      <c r="CC192" s="2002"/>
      <c r="CD192" s="2002"/>
      <c r="CE192" s="2305"/>
      <c r="CG192" s="2033" t="s">
        <v>3640</v>
      </c>
      <c r="CH192" s="1944" t="s">
        <v>2061</v>
      </c>
      <c r="CI192" s="2034" t="s">
        <v>1819</v>
      </c>
      <c r="CJ192" s="2979">
        <f t="shared" si="68"/>
        <v>0.2</v>
      </c>
      <c r="CK192" s="2979">
        <f t="shared" si="68"/>
        <v>0.2</v>
      </c>
      <c r="CL192" s="2979">
        <f t="shared" si="68"/>
        <v>0.2</v>
      </c>
      <c r="CM192" s="2979">
        <f t="shared" si="68"/>
        <v>0.2</v>
      </c>
      <c r="CN192" s="2979">
        <f t="shared" si="68"/>
        <v>0.2</v>
      </c>
      <c r="CO192" s="2979">
        <f t="shared" si="65"/>
        <v>0.2</v>
      </c>
      <c r="CP192" s="2979">
        <f t="shared" si="65"/>
        <v>0.2</v>
      </c>
      <c r="CQ192" s="2979">
        <f t="shared" si="65"/>
        <v>0.2</v>
      </c>
      <c r="CR192" s="2979">
        <f t="shared" si="65"/>
        <v>0.2</v>
      </c>
      <c r="CS192" s="2979">
        <f t="shared" si="65"/>
        <v>0.2</v>
      </c>
      <c r="CT192" s="2980">
        <f t="shared" si="65"/>
        <v>0</v>
      </c>
      <c r="CU192" s="2979">
        <f t="shared" si="65"/>
        <v>0</v>
      </c>
      <c r="CV192" s="2979">
        <f t="shared" si="65"/>
        <v>0</v>
      </c>
      <c r="CW192" s="2445"/>
      <c r="CX192" s="2033" t="s">
        <v>3641</v>
      </c>
      <c r="CY192" s="1944" t="s">
        <v>2061</v>
      </c>
      <c r="CZ192" s="2034"/>
      <c r="DA192" s="2944">
        <v>0</v>
      </c>
      <c r="DB192" s="2982"/>
      <c r="DC192" s="2982"/>
      <c r="DD192" s="2982"/>
      <c r="DE192" s="2982"/>
      <c r="DF192" s="2982"/>
      <c r="DG192" s="2982"/>
      <c r="DH192" s="2982"/>
      <c r="DI192" s="2982"/>
      <c r="DJ192" s="2982"/>
      <c r="DK192" s="2983"/>
      <c r="DL192" s="2982"/>
      <c r="DM192" s="2982"/>
    </row>
    <row r="193" spans="2:117" ht="13.5" customHeight="1">
      <c r="B193" s="1914" t="str">
        <f t="shared" si="96"/>
        <v>3.3.1</v>
      </c>
      <c r="C193" s="2034" t="str">
        <f t="shared" si="92"/>
        <v>屋外照明及び屋内照明のうち外に漏れる光への対策</v>
      </c>
      <c r="D193" s="1938">
        <f>IF(I$192=0,0,G193/I$192)</f>
        <v>0.7</v>
      </c>
      <c r="E193" s="1938">
        <f>IF(J$192=0,0,H193/J$192)</f>
        <v>0</v>
      </c>
      <c r="G193" s="1939">
        <f t="shared" si="93"/>
        <v>0.7</v>
      </c>
      <c r="H193" s="1939">
        <f t="shared" si="94"/>
        <v>0</v>
      </c>
      <c r="I193" s="1939"/>
      <c r="J193" s="1939"/>
      <c r="K193" s="1939">
        <f>IF(スコア!Q193=0,0,1)</f>
        <v>1</v>
      </c>
      <c r="L193" s="1939">
        <f>IF(スコア!T193=0,0,1)</f>
        <v>0</v>
      </c>
      <c r="M193" s="1939">
        <f t="shared" si="95"/>
        <v>0.7</v>
      </c>
      <c r="N193" s="1939">
        <f t="shared" si="78"/>
        <v>0</v>
      </c>
      <c r="P193" s="2033" t="str">
        <f t="shared" si="77"/>
        <v>3.3.1</v>
      </c>
      <c r="Q193" s="1944" t="str">
        <f t="shared" si="77"/>
        <v>LR3 3.3</v>
      </c>
      <c r="R193" s="2034" t="str">
        <f t="shared" si="77"/>
        <v>屋外照明及び屋内照明のうち外に漏れる光への対策</v>
      </c>
      <c r="S193" s="1947">
        <f t="shared" si="76"/>
        <v>0.7</v>
      </c>
      <c r="T193" s="1947">
        <f t="shared" si="76"/>
        <v>0.7</v>
      </c>
      <c r="U193" s="1947">
        <f t="shared" si="76"/>
        <v>0.7</v>
      </c>
      <c r="V193" s="1947">
        <f t="shared" si="76"/>
        <v>0.7</v>
      </c>
      <c r="W193" s="1947">
        <f t="shared" si="76"/>
        <v>0.7</v>
      </c>
      <c r="X193" s="1947">
        <f t="shared" si="83"/>
        <v>0.7</v>
      </c>
      <c r="Y193" s="1947">
        <f t="shared" si="83"/>
        <v>0.7</v>
      </c>
      <c r="Z193" s="1947">
        <f t="shared" si="83"/>
        <v>0.7</v>
      </c>
      <c r="AA193" s="1947">
        <f t="shared" si="83"/>
        <v>0.7</v>
      </c>
      <c r="AB193" s="1947">
        <f t="shared" si="83"/>
        <v>0.7</v>
      </c>
      <c r="AC193" s="2001">
        <f t="shared" si="75"/>
        <v>0</v>
      </c>
      <c r="AD193" s="2000">
        <f t="shared" si="75"/>
        <v>0</v>
      </c>
      <c r="AE193" s="2000">
        <f t="shared" si="75"/>
        <v>0</v>
      </c>
      <c r="AG193" s="2033" t="s">
        <v>1414</v>
      </c>
      <c r="AH193" s="1944" t="s">
        <v>1818</v>
      </c>
      <c r="AI193" s="2034" t="s">
        <v>1415</v>
      </c>
      <c r="AJ193" s="2002">
        <v>0.7</v>
      </c>
      <c r="AK193" s="2002">
        <v>0.7</v>
      </c>
      <c r="AL193" s="2002">
        <v>0.7</v>
      </c>
      <c r="AM193" s="2002">
        <v>0.7</v>
      </c>
      <c r="AN193" s="2002">
        <v>0.7</v>
      </c>
      <c r="AO193" s="2002">
        <v>0.7</v>
      </c>
      <c r="AP193" s="2002">
        <v>0.7</v>
      </c>
      <c r="AQ193" s="2002">
        <v>0.7</v>
      </c>
      <c r="AR193" s="2002">
        <v>0.7</v>
      </c>
      <c r="AS193" s="1947">
        <v>0.7</v>
      </c>
      <c r="AT193" s="2003"/>
      <c r="AU193" s="2002"/>
      <c r="AV193" s="2002"/>
      <c r="AX193" s="2033" t="s">
        <v>1414</v>
      </c>
      <c r="AY193" s="1944" t="s">
        <v>1818</v>
      </c>
      <c r="AZ193" s="2034" t="s">
        <v>1415</v>
      </c>
      <c r="BA193" s="1947">
        <v>0.7</v>
      </c>
      <c r="BB193" s="1947">
        <v>0.7</v>
      </c>
      <c r="BC193" s="1947">
        <v>0.7</v>
      </c>
      <c r="BD193" s="1947">
        <v>0.7</v>
      </c>
      <c r="BE193" s="1947">
        <v>0.7</v>
      </c>
      <c r="BF193" s="1947">
        <v>0.7</v>
      </c>
      <c r="BG193" s="1947">
        <v>0.7</v>
      </c>
      <c r="BH193" s="1947">
        <v>0.7</v>
      </c>
      <c r="BI193" s="1947">
        <v>0.7</v>
      </c>
      <c r="BJ193" s="1947">
        <v>0.7</v>
      </c>
      <c r="BK193" s="2003"/>
      <c r="BL193" s="2002"/>
      <c r="BM193" s="2002"/>
      <c r="BO193" s="2033" t="s">
        <v>3680</v>
      </c>
      <c r="BP193" s="1944" t="s">
        <v>1818</v>
      </c>
      <c r="BQ193" s="2034" t="s">
        <v>3668</v>
      </c>
      <c r="BR193" s="1947">
        <v>0.7</v>
      </c>
      <c r="BS193" s="1947">
        <v>0.7</v>
      </c>
      <c r="BT193" s="1947">
        <v>0.7</v>
      </c>
      <c r="BU193" s="1947">
        <v>0.7</v>
      </c>
      <c r="BV193" s="1947">
        <v>0.7</v>
      </c>
      <c r="BW193" s="1947">
        <v>0.7</v>
      </c>
      <c r="BX193" s="1947">
        <v>0.7</v>
      </c>
      <c r="BY193" s="1947">
        <v>0.7</v>
      </c>
      <c r="BZ193" s="1947">
        <v>0.7</v>
      </c>
      <c r="CA193" s="1947">
        <v>0.7</v>
      </c>
      <c r="CB193" s="2003"/>
      <c r="CC193" s="2002"/>
      <c r="CD193" s="2002"/>
      <c r="CE193" s="2305"/>
      <c r="CG193" s="2033" t="s">
        <v>3642</v>
      </c>
      <c r="CH193" s="1944" t="s">
        <v>1818</v>
      </c>
      <c r="CI193" s="2034" t="s">
        <v>3643</v>
      </c>
      <c r="CJ193" s="2943">
        <f t="shared" si="68"/>
        <v>0.7</v>
      </c>
      <c r="CK193" s="2943">
        <f t="shared" si="68"/>
        <v>0.7</v>
      </c>
      <c r="CL193" s="2943">
        <f t="shared" si="68"/>
        <v>0.7</v>
      </c>
      <c r="CM193" s="2943">
        <f t="shared" si="68"/>
        <v>0.7</v>
      </c>
      <c r="CN193" s="2943">
        <f t="shared" si="68"/>
        <v>0.7</v>
      </c>
      <c r="CO193" s="2943">
        <f t="shared" si="65"/>
        <v>0.7</v>
      </c>
      <c r="CP193" s="2943">
        <f t="shared" si="65"/>
        <v>0.7</v>
      </c>
      <c r="CQ193" s="2943">
        <f t="shared" si="65"/>
        <v>0.7</v>
      </c>
      <c r="CR193" s="2943">
        <f t="shared" si="65"/>
        <v>0.7</v>
      </c>
      <c r="CS193" s="2943">
        <f t="shared" si="65"/>
        <v>0.7</v>
      </c>
      <c r="CT193" s="2980">
        <f t="shared" si="65"/>
        <v>0</v>
      </c>
      <c r="CU193" s="2979">
        <f t="shared" si="65"/>
        <v>0</v>
      </c>
      <c r="CV193" s="2979">
        <f t="shared" si="65"/>
        <v>0</v>
      </c>
      <c r="CW193" s="2445"/>
      <c r="CX193" s="2033" t="s">
        <v>3642</v>
      </c>
      <c r="CY193" s="1944" t="s">
        <v>1818</v>
      </c>
      <c r="CZ193" s="2034"/>
      <c r="DA193" s="2944">
        <v>0</v>
      </c>
      <c r="DB193" s="2945"/>
      <c r="DC193" s="2945"/>
      <c r="DD193" s="2945"/>
      <c r="DE193" s="2945"/>
      <c r="DF193" s="2945"/>
      <c r="DG193" s="2945"/>
      <c r="DH193" s="2945"/>
      <c r="DI193" s="2945"/>
      <c r="DJ193" s="2945"/>
      <c r="DK193" s="2983"/>
      <c r="DL193" s="2982"/>
      <c r="DM193" s="2982"/>
    </row>
    <row r="194" spans="2:117" ht="13.5" customHeight="1">
      <c r="B194" s="1914" t="str">
        <f t="shared" si="96"/>
        <v>3.3.2</v>
      </c>
      <c r="C194" s="2034" t="str">
        <f t="shared" si="92"/>
        <v>昼光の建物外壁による反射光（グレア）への対策</v>
      </c>
      <c r="D194" s="1938">
        <f>IF(I$192=0,0,G194/I$192)</f>
        <v>0.3</v>
      </c>
      <c r="E194" s="1938">
        <f>IF(J$192=0,0,H194/J$192)</f>
        <v>0</v>
      </c>
      <c r="G194" s="1939">
        <f t="shared" si="93"/>
        <v>0.3</v>
      </c>
      <c r="H194" s="1939">
        <f t="shared" si="94"/>
        <v>0</v>
      </c>
      <c r="I194" s="1939"/>
      <c r="J194" s="1939"/>
      <c r="K194" s="1939">
        <f>IF(スコア!Q194=0,0,1)</f>
        <v>1</v>
      </c>
      <c r="L194" s="1939">
        <f>IF(スコア!T194=0,0,1)</f>
        <v>0</v>
      </c>
      <c r="M194" s="1939">
        <f t="shared" si="95"/>
        <v>0.3</v>
      </c>
      <c r="N194" s="1939">
        <f t="shared" si="78"/>
        <v>0</v>
      </c>
      <c r="P194" s="2033" t="str">
        <f t="shared" si="77"/>
        <v>3.3.2</v>
      </c>
      <c r="Q194" s="1944" t="str">
        <f t="shared" si="77"/>
        <v>LR3 3.3</v>
      </c>
      <c r="R194" s="2034" t="str">
        <f t="shared" si="77"/>
        <v>昼光の建物外壁による反射光（グレア）への対策</v>
      </c>
      <c r="S194" s="1947">
        <f t="shared" si="76"/>
        <v>0.3</v>
      </c>
      <c r="T194" s="1947">
        <f t="shared" si="76"/>
        <v>0.3</v>
      </c>
      <c r="U194" s="1947">
        <f t="shared" si="76"/>
        <v>0.3</v>
      </c>
      <c r="V194" s="1947">
        <f t="shared" si="76"/>
        <v>0.3</v>
      </c>
      <c r="W194" s="1947">
        <f t="shared" si="76"/>
        <v>0.3</v>
      </c>
      <c r="X194" s="1947">
        <f t="shared" si="83"/>
        <v>0.3</v>
      </c>
      <c r="Y194" s="1947">
        <f t="shared" si="83"/>
        <v>0.3</v>
      </c>
      <c r="Z194" s="1947">
        <f t="shared" si="83"/>
        <v>0.3</v>
      </c>
      <c r="AA194" s="1947">
        <f t="shared" si="83"/>
        <v>0.3</v>
      </c>
      <c r="AB194" s="1947">
        <f t="shared" si="83"/>
        <v>0.3</v>
      </c>
      <c r="AC194" s="2001">
        <f t="shared" si="75"/>
        <v>0</v>
      </c>
      <c r="AD194" s="2000">
        <f t="shared" si="75"/>
        <v>0</v>
      </c>
      <c r="AE194" s="2000">
        <f t="shared" si="75"/>
        <v>0</v>
      </c>
      <c r="AG194" s="2033" t="s">
        <v>2395</v>
      </c>
      <c r="AH194" s="1944" t="s">
        <v>1818</v>
      </c>
      <c r="AI194" s="2034" t="s">
        <v>2396</v>
      </c>
      <c r="AJ194" s="1947">
        <v>0.3</v>
      </c>
      <c r="AK194" s="1947">
        <v>0.3</v>
      </c>
      <c r="AL194" s="1947">
        <v>0.3</v>
      </c>
      <c r="AM194" s="1947">
        <v>0.3</v>
      </c>
      <c r="AN194" s="1947">
        <v>0.3</v>
      </c>
      <c r="AO194" s="1947">
        <v>0.3</v>
      </c>
      <c r="AP194" s="1947">
        <v>0.3</v>
      </c>
      <c r="AQ194" s="1947">
        <v>0.3</v>
      </c>
      <c r="AR194" s="1947">
        <v>0.3</v>
      </c>
      <c r="AS194" s="1947">
        <v>0.3</v>
      </c>
      <c r="AT194" s="2003"/>
      <c r="AU194" s="2002"/>
      <c r="AV194" s="2002"/>
      <c r="AX194" s="2033" t="s">
        <v>2395</v>
      </c>
      <c r="AY194" s="1944" t="s">
        <v>1818</v>
      </c>
      <c r="AZ194" s="2034" t="s">
        <v>2396</v>
      </c>
      <c r="BA194" s="1947">
        <v>0.3</v>
      </c>
      <c r="BB194" s="1947">
        <v>0.3</v>
      </c>
      <c r="BC194" s="1947">
        <v>0.3</v>
      </c>
      <c r="BD194" s="1947">
        <v>0.3</v>
      </c>
      <c r="BE194" s="1947">
        <v>0.3</v>
      </c>
      <c r="BF194" s="1947">
        <v>0.3</v>
      </c>
      <c r="BG194" s="1947">
        <v>0.3</v>
      </c>
      <c r="BH194" s="1947">
        <v>0.3</v>
      </c>
      <c r="BI194" s="1947">
        <v>0.3</v>
      </c>
      <c r="BJ194" s="1947">
        <v>0.3</v>
      </c>
      <c r="BK194" s="2003"/>
      <c r="BL194" s="2002"/>
      <c r="BM194" s="2002"/>
      <c r="BO194" s="2033" t="s">
        <v>3681</v>
      </c>
      <c r="BP194" s="1944" t="s">
        <v>1818</v>
      </c>
      <c r="BQ194" s="2034" t="s">
        <v>3669</v>
      </c>
      <c r="BR194" s="1947">
        <v>0.3</v>
      </c>
      <c r="BS194" s="1947">
        <v>0.3</v>
      </c>
      <c r="BT194" s="1947">
        <v>0.3</v>
      </c>
      <c r="BU194" s="1947">
        <v>0.3</v>
      </c>
      <c r="BV194" s="1947">
        <v>0.3</v>
      </c>
      <c r="BW194" s="1947">
        <v>0.3</v>
      </c>
      <c r="BX194" s="1947">
        <v>0.3</v>
      </c>
      <c r="BY194" s="1947">
        <v>0.3</v>
      </c>
      <c r="BZ194" s="1947">
        <v>0.3</v>
      </c>
      <c r="CA194" s="1947">
        <v>0.3</v>
      </c>
      <c r="CB194" s="2003"/>
      <c r="CC194" s="2002"/>
      <c r="CD194" s="2002"/>
      <c r="CE194" s="2305"/>
      <c r="CG194" s="2033" t="s">
        <v>3644</v>
      </c>
      <c r="CH194" s="1944" t="s">
        <v>1818</v>
      </c>
      <c r="CI194" s="2034" t="s">
        <v>3645</v>
      </c>
      <c r="CJ194" s="2943">
        <f t="shared" si="68"/>
        <v>0.3</v>
      </c>
      <c r="CK194" s="2943">
        <f t="shared" si="68"/>
        <v>0.3</v>
      </c>
      <c r="CL194" s="2943">
        <f t="shared" si="68"/>
        <v>0.3</v>
      </c>
      <c r="CM194" s="2943">
        <f t="shared" si="68"/>
        <v>0.3</v>
      </c>
      <c r="CN194" s="2943">
        <f t="shared" si="68"/>
        <v>0.3</v>
      </c>
      <c r="CO194" s="2943">
        <f t="shared" si="65"/>
        <v>0.3</v>
      </c>
      <c r="CP194" s="2943">
        <f t="shared" si="65"/>
        <v>0.3</v>
      </c>
      <c r="CQ194" s="2943">
        <f t="shared" si="65"/>
        <v>0.3</v>
      </c>
      <c r="CR194" s="2943">
        <f t="shared" si="65"/>
        <v>0.3</v>
      </c>
      <c r="CS194" s="2943">
        <f t="shared" si="65"/>
        <v>0.3</v>
      </c>
      <c r="CT194" s="2980">
        <f t="shared" si="65"/>
        <v>0</v>
      </c>
      <c r="CU194" s="2979">
        <f t="shared" si="65"/>
        <v>0</v>
      </c>
      <c r="CV194" s="2979">
        <f t="shared" si="65"/>
        <v>0</v>
      </c>
      <c r="CW194" s="2445"/>
      <c r="CX194" s="2033" t="s">
        <v>3644</v>
      </c>
      <c r="CY194" s="1944" t="s">
        <v>1818</v>
      </c>
      <c r="CZ194" s="2034"/>
      <c r="DA194" s="2944">
        <v>0</v>
      </c>
      <c r="DB194" s="2945"/>
      <c r="DC194" s="2945"/>
      <c r="DD194" s="2945"/>
      <c r="DE194" s="2945"/>
      <c r="DF194" s="2945"/>
      <c r="DG194" s="2945"/>
      <c r="DH194" s="2945"/>
      <c r="DI194" s="2945"/>
      <c r="DJ194" s="2945"/>
      <c r="DK194" s="2983"/>
      <c r="DL194" s="2982"/>
      <c r="DM194" s="2982"/>
    </row>
    <row r="195" spans="2:117" ht="13.5" customHeight="1"/>
  </sheetData>
  <sheetProtection algorithmName="SHA-512" hashValue="k+5Dtqr0XuA5AFofEWhC0GmU3NsWnjvjXhPuTF8tnWvVkYmYpMChi+oiqMtuDTLZ0UrxQZr+HgMErhW8jiKQYg==" saltValue="DldBYtQ7ZRF07DiARjQb8w==" spinCount="100000" sheet="1" objects="1" scenarios="1" selectLockedCells="1"/>
  <mergeCells count="12">
    <mergeCell ref="CJ5:CR5"/>
    <mergeCell ref="CT5:CV5"/>
    <mergeCell ref="DA5:DI5"/>
    <mergeCell ref="DK5:DM5"/>
    <mergeCell ref="BR5:BZ5"/>
    <mergeCell ref="CB5:CD5"/>
    <mergeCell ref="S5:AA5"/>
    <mergeCell ref="AC5:AE5"/>
    <mergeCell ref="BA5:BI5"/>
    <mergeCell ref="BK5:BM5"/>
    <mergeCell ref="AJ5:AR5"/>
    <mergeCell ref="AT5:AV5"/>
  </mergeCells>
  <phoneticPr fontId="21"/>
  <printOptions horizontalCentered="1"/>
  <pageMargins left="0.59055118110236227" right="0.59055118110236227" top="0.78740157480314965" bottom="0.59055118110236227" header="0.51181102362204722" footer="0.51181102362204722"/>
  <pageSetup paperSize="9" scale="32" fitToWidth="2" orientation="portrait" verticalDpi="4294967293" r:id="rId1"/>
  <headerFooter alignWithMargins="0">
    <oddHeader>&amp;L&amp;F&amp;R&amp;A</oddHeader>
    <oddFooter>&amp;C&amp;P/&amp;N</oddFooter>
  </headerFooter>
  <colBreaks count="1" manualBreakCount="1">
    <brk id="48" max="1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G72"/>
  <sheetViews>
    <sheetView showGridLines="0" topLeftCell="A28" zoomScaleNormal="100" workbookViewId="0">
      <selection activeCell="D68" sqref="D68:D71"/>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384" width="9" hidden="1"/>
  </cols>
  <sheetData>
    <row r="1" spans="2:6" ht="6" customHeight="1"/>
    <row r="2" spans="2:6" ht="18.75">
      <c r="B2" s="1692" t="s">
        <v>412</v>
      </c>
      <c r="C2" s="1693"/>
      <c r="D2" s="1693"/>
      <c r="E2" s="1361" t="s">
        <v>2215</v>
      </c>
      <c r="F2" s="2878" t="str">
        <f>メイン!C11</f>
        <v>○○ビル</v>
      </c>
    </row>
    <row r="3" spans="2:6" ht="16.5" customHeight="1">
      <c r="F3" s="1694" t="str">
        <f>メイン!C5</f>
        <v>CASBEE京都-新築2018（v.1.0）</v>
      </c>
    </row>
    <row r="4" spans="2:6">
      <c r="B4" s="4209" t="s">
        <v>1772</v>
      </c>
      <c r="C4" s="4210"/>
      <c r="D4" s="1695" t="s">
        <v>2156</v>
      </c>
      <c r="E4" s="1696" t="s">
        <v>1973</v>
      </c>
      <c r="F4" s="1696" t="s">
        <v>1092</v>
      </c>
    </row>
    <row r="5" spans="2:6" ht="35.25" customHeight="1">
      <c r="B5" s="4211" t="s">
        <v>2157</v>
      </c>
      <c r="C5" s="1696" t="s">
        <v>1483</v>
      </c>
      <c r="D5" s="1695" t="str">
        <f>メイン!C21</f>
        <v>事務所,集合住宅,</v>
      </c>
      <c r="E5" s="1695" t="str">
        <f>D5</f>
        <v>事務所,集合住宅,</v>
      </c>
      <c r="F5" s="1696"/>
    </row>
    <row r="6" spans="2:6">
      <c r="B6" s="4212"/>
      <c r="C6" s="1696" t="s">
        <v>2158</v>
      </c>
      <c r="D6" s="1698">
        <f>メイン!C19</f>
        <v>20320</v>
      </c>
      <c r="E6" s="1698">
        <f>D6</f>
        <v>20320</v>
      </c>
      <c r="F6" s="1689"/>
    </row>
    <row r="7" spans="2:6">
      <c r="B7" s="4213"/>
      <c r="C7" s="1696" t="s">
        <v>2159</v>
      </c>
      <c r="D7" s="1696" t="str">
        <f>メイン!C23</f>
        <v>RC造</v>
      </c>
      <c r="E7" s="1696" t="str">
        <f>D7</f>
        <v>RC造</v>
      </c>
      <c r="F7" s="1689"/>
    </row>
    <row r="8" spans="2:6" ht="31.5" customHeight="1">
      <c r="B8" s="1695" t="s">
        <v>2160</v>
      </c>
      <c r="C8" s="1700" t="s">
        <v>2161</v>
      </c>
      <c r="D8" s="1701" t="str">
        <f>CO2計算!O35</f>
        <v>事務所部分60年,他</v>
      </c>
      <c r="E8" s="1701" t="str">
        <f>CO2計算!L35</f>
        <v>事務所部分60年,他</v>
      </c>
      <c r="F8" s="1702"/>
    </row>
    <row r="9" spans="2:6" ht="19.5" customHeight="1">
      <c r="B9" s="1703"/>
      <c r="C9" s="1700" t="s">
        <v>260</v>
      </c>
      <c r="D9" s="1704">
        <f>CO2計算!O133</f>
        <v>13.330629921259844</v>
      </c>
      <c r="E9" s="1704">
        <f>CO2計算!L133</f>
        <v>13.330629921259844</v>
      </c>
      <c r="F9" s="1705" t="s">
        <v>2162</v>
      </c>
    </row>
    <row r="10" spans="2:6" ht="29.25" customHeight="1">
      <c r="B10" s="4206" t="s">
        <v>1308</v>
      </c>
      <c r="C10" s="1695" t="s">
        <v>1309</v>
      </c>
      <c r="D10" s="1706" t="s">
        <v>1116</v>
      </c>
      <c r="E10" s="1707" t="s">
        <v>3054</v>
      </c>
      <c r="F10" s="1689"/>
    </row>
    <row r="11" spans="2:6" ht="29.25" customHeight="1">
      <c r="B11" s="4206"/>
      <c r="C11" s="1695" t="s">
        <v>1310</v>
      </c>
      <c r="D11" s="1706" t="s">
        <v>1117</v>
      </c>
      <c r="E11" s="1708" t="s">
        <v>2142</v>
      </c>
      <c r="F11" s="1689"/>
    </row>
    <row r="12" spans="2:6">
      <c r="B12" s="4206"/>
      <c r="C12" s="1697" t="s">
        <v>413</v>
      </c>
      <c r="D12" s="1709" t="s">
        <v>2143</v>
      </c>
      <c r="E12" s="1710" t="s">
        <v>2142</v>
      </c>
      <c r="F12" s="1711"/>
    </row>
    <row r="13" spans="2:6">
      <c r="B13" s="4207"/>
      <c r="C13" s="1713" t="s">
        <v>1978</v>
      </c>
      <c r="D13" s="1714"/>
      <c r="E13" s="1715"/>
      <c r="F13" s="1716"/>
    </row>
    <row r="14" spans="2:6" ht="19.5" customHeight="1">
      <c r="B14" s="4206"/>
      <c r="C14" s="1717" t="s">
        <v>1981</v>
      </c>
      <c r="D14" s="1718">
        <f>CO2計算!O93</f>
        <v>0.77140157480314975</v>
      </c>
      <c r="E14" s="1719">
        <f>CO2計算!L93</f>
        <v>0.77140157480314975</v>
      </c>
      <c r="F14" s="1720" t="s">
        <v>414</v>
      </c>
    </row>
    <row r="15" spans="2:6" ht="14.25">
      <c r="B15" s="4206"/>
      <c r="C15" s="1721" t="s">
        <v>1983</v>
      </c>
      <c r="D15" s="1722">
        <f>CO2計算!O94</f>
        <v>0</v>
      </c>
      <c r="E15" s="1723">
        <f>CO2計算!L94</f>
        <v>0</v>
      </c>
      <c r="F15" s="1724" t="s">
        <v>414</v>
      </c>
    </row>
    <row r="16" spans="2:6">
      <c r="B16" s="4206"/>
      <c r="C16" s="1721" t="s">
        <v>1984</v>
      </c>
      <c r="D16" s="1722">
        <f>CO2計算!O95</f>
        <v>3.7590551181102362E-2</v>
      </c>
      <c r="E16" s="1723">
        <f>CO2計算!L95</f>
        <v>3.7590551181102362E-2</v>
      </c>
      <c r="F16" s="1725" t="s">
        <v>1985</v>
      </c>
    </row>
    <row r="17" spans="2:6">
      <c r="B17" s="4206"/>
      <c r="C17" s="1721" t="s">
        <v>1986</v>
      </c>
      <c r="D17" s="1722">
        <f>CO2計算!O96</f>
        <v>0</v>
      </c>
      <c r="E17" s="1723">
        <f>CO2計算!L96</f>
        <v>0</v>
      </c>
      <c r="F17" s="1725" t="s">
        <v>1985</v>
      </c>
    </row>
    <row r="18" spans="2:6">
      <c r="B18" s="4206"/>
      <c r="C18" s="1721" t="s">
        <v>1987</v>
      </c>
      <c r="D18" s="1722">
        <f>CO2計算!O97</f>
        <v>0.10295275590551181</v>
      </c>
      <c r="E18" s="1723">
        <f>CO2計算!L97</f>
        <v>0.10295275590551181</v>
      </c>
      <c r="F18" s="1725" t="s">
        <v>1985</v>
      </c>
    </row>
    <row r="19" spans="2:6">
      <c r="B19" s="4206"/>
      <c r="C19" s="1721" t="s">
        <v>1712</v>
      </c>
      <c r="D19" s="1722">
        <f>CO2計算!O98</f>
        <v>1.2999999999999999E-2</v>
      </c>
      <c r="E19" s="1723">
        <f>CO2計算!L98</f>
        <v>1.2999999999999999E-2</v>
      </c>
      <c r="F19" s="1725" t="s">
        <v>1985</v>
      </c>
    </row>
    <row r="20" spans="2:6">
      <c r="B20" s="4206"/>
      <c r="C20" s="1726" t="s">
        <v>415</v>
      </c>
      <c r="D20" s="1726" t="s">
        <v>416</v>
      </c>
      <c r="E20" s="1727" t="s">
        <v>1306</v>
      </c>
      <c r="F20" s="1728" t="s">
        <v>417</v>
      </c>
    </row>
    <row r="21" spans="2:6">
      <c r="B21" s="4207"/>
      <c r="C21" s="1713" t="s">
        <v>1307</v>
      </c>
      <c r="D21" s="1714"/>
      <c r="E21" s="1715"/>
      <c r="F21" s="1729"/>
    </row>
    <row r="22" spans="2:6" ht="15">
      <c r="B22" s="4206"/>
      <c r="C22" s="1717" t="s">
        <v>1981</v>
      </c>
      <c r="D22" s="1718">
        <v>266.70999999999998</v>
      </c>
      <c r="E22" s="1719" t="s">
        <v>1306</v>
      </c>
      <c r="F22" s="1724" t="s">
        <v>418</v>
      </c>
    </row>
    <row r="23" spans="2:6" ht="15">
      <c r="B23" s="4206"/>
      <c r="C23" s="1721" t="s">
        <v>1983</v>
      </c>
      <c r="D23" s="1722">
        <v>216.57</v>
      </c>
      <c r="E23" s="1723" t="s">
        <v>1306</v>
      </c>
      <c r="F23" s="1725" t="s">
        <v>418</v>
      </c>
    </row>
    <row r="24" spans="2:6">
      <c r="B24" s="4206"/>
      <c r="C24" s="1721" t="s">
        <v>1984</v>
      </c>
      <c r="D24" s="1722">
        <v>1.28</v>
      </c>
      <c r="E24" s="1723" t="s">
        <v>1306</v>
      </c>
      <c r="F24" s="1725" t="s">
        <v>2509</v>
      </c>
    </row>
    <row r="25" spans="2:6">
      <c r="B25" s="4206"/>
      <c r="C25" s="1721" t="s">
        <v>1986</v>
      </c>
      <c r="D25" s="1722" t="s">
        <v>1913</v>
      </c>
      <c r="E25" s="1723" t="s">
        <v>1306</v>
      </c>
      <c r="F25" s="1725" t="s">
        <v>2510</v>
      </c>
    </row>
    <row r="26" spans="2:6">
      <c r="B26" s="4206"/>
      <c r="C26" s="1721" t="s">
        <v>1987</v>
      </c>
      <c r="D26" s="1722">
        <v>0.51</v>
      </c>
      <c r="E26" s="1723" t="s">
        <v>1306</v>
      </c>
      <c r="F26" s="1725" t="s">
        <v>2509</v>
      </c>
    </row>
    <row r="27" spans="2:6">
      <c r="B27" s="4206"/>
      <c r="C27" s="1721" t="s">
        <v>233</v>
      </c>
      <c r="D27" s="1722">
        <v>4.75</v>
      </c>
      <c r="E27" s="1723" t="s">
        <v>1306</v>
      </c>
      <c r="F27" s="1725" t="s">
        <v>2511</v>
      </c>
    </row>
    <row r="28" spans="2:6">
      <c r="B28" s="4206"/>
      <c r="C28" s="1726" t="s">
        <v>415</v>
      </c>
      <c r="D28" s="1726" t="s">
        <v>416</v>
      </c>
      <c r="E28" s="1727" t="s">
        <v>2512</v>
      </c>
      <c r="F28" s="1725" t="s">
        <v>2509</v>
      </c>
    </row>
    <row r="29" spans="2:6" ht="14.25" thickBot="1">
      <c r="B29" s="4207"/>
      <c r="C29" s="1713" t="s">
        <v>234</v>
      </c>
      <c r="D29" s="1714"/>
      <c r="E29" s="1730"/>
      <c r="F29" s="1731"/>
    </row>
    <row r="30" spans="2:6" ht="29.25" customHeight="1">
      <c r="B30" s="4206"/>
      <c r="C30" s="1717" t="s">
        <v>235</v>
      </c>
      <c r="D30" s="1732">
        <v>0</v>
      </c>
      <c r="E30" s="1733">
        <v>0</v>
      </c>
      <c r="F30" s="1734"/>
    </row>
    <row r="31" spans="2:6" ht="29.25" customHeight="1" thickBot="1">
      <c r="B31" s="4206"/>
      <c r="C31" s="1717" t="s">
        <v>236</v>
      </c>
      <c r="D31" s="1732">
        <v>0</v>
      </c>
      <c r="E31" s="1735">
        <v>0</v>
      </c>
      <c r="F31" s="1736"/>
    </row>
    <row r="32" spans="2:6" ht="24" customHeight="1">
      <c r="B32" s="4206"/>
      <c r="C32" s="1721" t="s">
        <v>237</v>
      </c>
      <c r="D32" s="1732">
        <v>0</v>
      </c>
      <c r="E32" s="1732">
        <v>0</v>
      </c>
      <c r="F32" s="1737"/>
    </row>
    <row r="33" spans="2:6" ht="24" customHeight="1">
      <c r="B33" s="4206"/>
      <c r="C33" s="1738" t="s">
        <v>238</v>
      </c>
      <c r="D33" s="1739">
        <v>0</v>
      </c>
      <c r="E33" s="1739">
        <v>0</v>
      </c>
      <c r="F33" s="1740"/>
    </row>
    <row r="34" spans="2:6" ht="19.5" customHeight="1">
      <c r="B34" s="1697"/>
      <c r="C34" s="1741" t="s">
        <v>260</v>
      </c>
      <c r="D34" s="1742">
        <f>CO2計算!O134</f>
        <v>16.328677165354332</v>
      </c>
      <c r="E34" s="1743">
        <f>CO2計算!L134</f>
        <v>16.328677165354332</v>
      </c>
      <c r="F34" s="1705" t="s">
        <v>2162</v>
      </c>
    </row>
    <row r="35" spans="2:6">
      <c r="B35" s="1712" t="s">
        <v>420</v>
      </c>
      <c r="C35" s="1744" t="s">
        <v>239</v>
      </c>
      <c r="D35" s="1745"/>
      <c r="E35" s="1745"/>
      <c r="F35" s="1716"/>
    </row>
    <row r="36" spans="2:6">
      <c r="B36" s="1703" t="s">
        <v>421</v>
      </c>
      <c r="C36" s="1746" t="s">
        <v>2149</v>
      </c>
      <c r="D36" s="1747">
        <f>CO2データ!I308</f>
        <v>25</v>
      </c>
      <c r="E36" s="1747">
        <f>CO2データ!I308</f>
        <v>25</v>
      </c>
      <c r="F36" s="1740"/>
    </row>
    <row r="37" spans="2:6" ht="13.5" hidden="1" customHeight="1">
      <c r="B37" s="1703"/>
      <c r="C37" s="1746" t="s">
        <v>2151</v>
      </c>
      <c r="D37" s="1748"/>
      <c r="E37" s="1748"/>
      <c r="F37" s="1749"/>
    </row>
    <row r="38" spans="2:6">
      <c r="B38" s="1703"/>
      <c r="C38" s="1700" t="s">
        <v>2152</v>
      </c>
      <c r="D38" s="1748">
        <f>CO2データ!I310</f>
        <v>18</v>
      </c>
      <c r="E38" s="1748">
        <f>CO2データ!I310</f>
        <v>18</v>
      </c>
      <c r="F38" s="1749"/>
    </row>
    <row r="39" spans="2:6">
      <c r="B39" s="1703"/>
      <c r="C39" s="1741" t="s">
        <v>2153</v>
      </c>
      <c r="D39" s="1747">
        <f>CO2データ!I311</f>
        <v>15</v>
      </c>
      <c r="E39" s="1747">
        <f>CO2データ!I311</f>
        <v>15</v>
      </c>
      <c r="F39" s="1740"/>
    </row>
    <row r="40" spans="2:6">
      <c r="B40" s="1712"/>
      <c r="C40" s="1744" t="s">
        <v>240</v>
      </c>
      <c r="D40" s="1745"/>
      <c r="E40" s="1745"/>
      <c r="F40" s="1716"/>
    </row>
    <row r="41" spans="2:6">
      <c r="B41" s="1703"/>
      <c r="C41" s="1746" t="s">
        <v>2149</v>
      </c>
      <c r="D41" s="1750">
        <f>CO2データ!I314</f>
        <v>0.01</v>
      </c>
      <c r="E41" s="1750">
        <f>CO2データ!I314</f>
        <v>0.01</v>
      </c>
      <c r="F41" s="1751"/>
    </row>
    <row r="42" spans="2:6">
      <c r="B42" s="1703"/>
      <c r="C42" s="1700" t="s">
        <v>2152</v>
      </c>
      <c r="D42" s="1752">
        <f>CO2データ!I315</f>
        <v>0.01</v>
      </c>
      <c r="E42" s="1752">
        <f>CO2データ!I315</f>
        <v>0.01</v>
      </c>
      <c r="F42" s="1753"/>
    </row>
    <row r="43" spans="2:6">
      <c r="B43" s="1703"/>
      <c r="C43" s="1700" t="s">
        <v>2153</v>
      </c>
      <c r="D43" s="1754">
        <f>CO2データ!I316</f>
        <v>0.02</v>
      </c>
      <c r="E43" s="1754">
        <f>CO2データ!I316</f>
        <v>0.02</v>
      </c>
      <c r="F43" s="1755"/>
    </row>
    <row r="44" spans="2:6" ht="29.25" customHeight="1">
      <c r="B44" s="1756"/>
      <c r="C44" s="1700" t="s">
        <v>515</v>
      </c>
      <c r="D44" s="1706" t="s">
        <v>3055</v>
      </c>
      <c r="E44" s="1695" t="s">
        <v>516</v>
      </c>
      <c r="F44" s="1689"/>
    </row>
    <row r="45" spans="2:6">
      <c r="B45" s="1697"/>
      <c r="C45" s="1744" t="s">
        <v>260</v>
      </c>
      <c r="D45" s="1714"/>
      <c r="E45" s="1757"/>
      <c r="F45" s="1758"/>
    </row>
    <row r="46" spans="2:6" ht="24" customHeight="1">
      <c r="B46" s="1703"/>
      <c r="C46" s="1695" t="s">
        <v>422</v>
      </c>
      <c r="D46" s="1704" t="e">
        <f>CO2計算!O135</f>
        <v>#VALUE!</v>
      </c>
      <c r="E46" s="1704" t="e">
        <f>CO2計算!L116</f>
        <v>#VALUE!</v>
      </c>
      <c r="F46" s="1705" t="s">
        <v>2162</v>
      </c>
    </row>
    <row r="47" spans="2:6" ht="24" customHeight="1">
      <c r="B47" s="1703"/>
      <c r="C47" s="1717" t="s">
        <v>423</v>
      </c>
      <c r="D47" s="1759" t="s">
        <v>424</v>
      </c>
      <c r="E47" s="1760" t="e">
        <f>CO2計算!L123</f>
        <v>#VALUE!</v>
      </c>
      <c r="F47" s="1724" t="s">
        <v>425</v>
      </c>
    </row>
    <row r="48" spans="2:6" ht="24" hidden="1" customHeight="1">
      <c r="B48" s="4206" t="s">
        <v>517</v>
      </c>
      <c r="C48" s="1726"/>
      <c r="D48" s="1761"/>
      <c r="E48" s="1762"/>
      <c r="F48" s="1763" t="s">
        <v>2162</v>
      </c>
    </row>
    <row r="49" spans="2:6" ht="24" hidden="1" customHeight="1">
      <c r="B49" s="4206"/>
      <c r="C49" s="1703"/>
      <c r="D49" s="1764"/>
      <c r="E49" s="1762"/>
      <c r="F49" s="1763" t="s">
        <v>426</v>
      </c>
    </row>
    <row r="50" spans="2:6" ht="24" hidden="1" customHeight="1">
      <c r="B50" s="4206"/>
      <c r="C50" s="1703"/>
      <c r="D50" s="1765"/>
      <c r="E50" s="1766" t="e">
        <f>'条件(個別)'!E80</f>
        <v>#VALUE!</v>
      </c>
      <c r="F50" s="1767" t="s">
        <v>427</v>
      </c>
    </row>
    <row r="51" spans="2:6" ht="24" hidden="1" customHeight="1">
      <c r="B51" s="4206"/>
      <c r="C51" s="1756"/>
      <c r="D51" s="1768" t="s">
        <v>915</v>
      </c>
      <c r="E51" s="1769" t="s">
        <v>428</v>
      </c>
      <c r="F51" s="1770"/>
    </row>
    <row r="52" spans="2:6" ht="29.25" customHeight="1">
      <c r="B52" s="4207"/>
      <c r="C52" s="1771" t="s">
        <v>429</v>
      </c>
      <c r="D52" s="2253" t="s">
        <v>428</v>
      </c>
      <c r="E52" s="2254" t="e">
        <f>E47</f>
        <v>#VALUE!</v>
      </c>
      <c r="F52" s="1720" t="s">
        <v>430</v>
      </c>
    </row>
    <row r="53" spans="2:6" ht="30" customHeight="1">
      <c r="B53" s="4206"/>
      <c r="C53" s="1726" t="s">
        <v>518</v>
      </c>
      <c r="D53" s="1774" t="s">
        <v>431</v>
      </c>
      <c r="E53" s="1775" t="s">
        <v>424</v>
      </c>
      <c r="F53" s="1725"/>
    </row>
    <row r="54" spans="2:6" ht="27.75" customHeight="1">
      <c r="B54" s="4206"/>
      <c r="C54" s="1703"/>
      <c r="D54" s="1774" t="s">
        <v>432</v>
      </c>
      <c r="E54" s="1775" t="s">
        <v>424</v>
      </c>
      <c r="F54" s="1725"/>
    </row>
    <row r="55" spans="2:6" ht="24" customHeight="1">
      <c r="B55" s="4206"/>
      <c r="C55" s="1703"/>
      <c r="D55" s="1774" t="s">
        <v>433</v>
      </c>
      <c r="E55" s="1775" t="s">
        <v>424</v>
      </c>
      <c r="F55" s="1725"/>
    </row>
    <row r="56" spans="2:6" ht="29.25" customHeight="1">
      <c r="B56" s="1703"/>
      <c r="C56" s="1703"/>
      <c r="D56" s="1774" t="s">
        <v>434</v>
      </c>
      <c r="E56" s="1775" t="s">
        <v>424</v>
      </c>
      <c r="F56" s="1773"/>
    </row>
    <row r="57" spans="2:6" ht="24" hidden="1" customHeight="1">
      <c r="B57" s="1703"/>
      <c r="C57" s="1756"/>
      <c r="D57" s="1776"/>
      <c r="E57" s="1769" t="s">
        <v>424</v>
      </c>
      <c r="F57" s="1770"/>
    </row>
    <row r="58" spans="2:6" ht="29.25" customHeight="1">
      <c r="B58" s="4206"/>
      <c r="C58" s="1700" t="s">
        <v>916</v>
      </c>
      <c r="D58" s="1706" t="s">
        <v>3056</v>
      </c>
      <c r="E58" s="1706" t="s">
        <v>2207</v>
      </c>
      <c r="F58" s="1689"/>
    </row>
    <row r="59" spans="2:6" ht="18.75" customHeight="1">
      <c r="B59" s="4206"/>
      <c r="C59" s="1741" t="s">
        <v>335</v>
      </c>
      <c r="D59" s="1777">
        <f>CO2計算!H118+CO2計算!H121+CO2計算!H120</f>
        <v>38000</v>
      </c>
      <c r="E59" s="1777" t="e">
        <f>CO2計算!I125+CO2計算!I127+CO2計算!I126</f>
        <v>#VALUE!</v>
      </c>
      <c r="F59" s="1778" t="s">
        <v>521</v>
      </c>
    </row>
    <row r="60" spans="2:6">
      <c r="B60" s="4207"/>
      <c r="C60" s="1779" t="s">
        <v>835</v>
      </c>
      <c r="D60" s="1745"/>
      <c r="E60" s="1745"/>
      <c r="F60" s="1758"/>
    </row>
    <row r="61" spans="2:6">
      <c r="B61" s="4206"/>
      <c r="C61" s="1780" t="s">
        <v>2267</v>
      </c>
      <c r="D61" s="1781" t="e">
        <f>CO2計算!J118</f>
        <v>#VALUE!</v>
      </c>
      <c r="E61" s="1782" t="s">
        <v>516</v>
      </c>
      <c r="F61" s="1767" t="s">
        <v>142</v>
      </c>
    </row>
    <row r="62" spans="2:6">
      <c r="B62" s="4206"/>
      <c r="C62" s="1780" t="s">
        <v>2268</v>
      </c>
      <c r="D62" s="1781" t="e">
        <f>CO2計算!J120</f>
        <v>#VALUE!</v>
      </c>
      <c r="E62" s="1784" t="s">
        <v>516</v>
      </c>
      <c r="F62" s="1767" t="s">
        <v>142</v>
      </c>
    </row>
    <row r="63" spans="2:6">
      <c r="B63" s="4206"/>
      <c r="C63" s="1783" t="s">
        <v>2208</v>
      </c>
      <c r="D63" s="1784" t="e">
        <f>CO2データ!I95</f>
        <v>#VALUE!</v>
      </c>
      <c r="E63" s="1784" t="s">
        <v>516</v>
      </c>
      <c r="F63" s="1763" t="s">
        <v>1466</v>
      </c>
    </row>
    <row r="64" spans="2:6">
      <c r="B64" s="4206"/>
      <c r="C64" s="1783" t="s">
        <v>143</v>
      </c>
      <c r="D64" s="1784">
        <f>CO2データ!I97</f>
        <v>4.9799999999999997E-2</v>
      </c>
      <c r="E64" s="1784" t="s">
        <v>516</v>
      </c>
      <c r="F64" s="1767" t="s">
        <v>142</v>
      </c>
    </row>
    <row r="65" spans="2:6" ht="24">
      <c r="B65" s="4206"/>
      <c r="C65" s="1785" t="s">
        <v>2204</v>
      </c>
      <c r="D65" s="1786" t="s">
        <v>245</v>
      </c>
      <c r="E65" s="1786" t="s">
        <v>516</v>
      </c>
      <c r="F65" s="1787" t="s">
        <v>142</v>
      </c>
    </row>
    <row r="66" spans="2:6">
      <c r="B66" s="1703"/>
      <c r="C66" s="1788" t="s">
        <v>2205</v>
      </c>
      <c r="D66" s="1789"/>
      <c r="E66" s="1789"/>
      <c r="F66" s="1790"/>
    </row>
    <row r="67" spans="2:6">
      <c r="B67" s="1703"/>
      <c r="C67" s="1746"/>
      <c r="D67" s="1699"/>
      <c r="E67" s="1699"/>
      <c r="F67" s="1755"/>
    </row>
    <row r="68" spans="2:6">
      <c r="B68" s="4208" t="s">
        <v>283</v>
      </c>
      <c r="C68" s="4203"/>
      <c r="D68" s="4203"/>
      <c r="E68" s="4203"/>
      <c r="F68" s="4203"/>
    </row>
    <row r="69" spans="2:6">
      <c r="B69" s="4208"/>
      <c r="C69" s="4204"/>
      <c r="D69" s="4204"/>
      <c r="E69" s="4204"/>
      <c r="F69" s="4204"/>
    </row>
    <row r="70" spans="2:6">
      <c r="B70" s="4208"/>
      <c r="C70" s="4204"/>
      <c r="D70" s="4204"/>
      <c r="E70" s="4204"/>
      <c r="F70" s="4204"/>
    </row>
    <row r="71" spans="2:6">
      <c r="B71" s="4208"/>
      <c r="C71" s="4205"/>
      <c r="D71" s="4205"/>
      <c r="E71" s="4205"/>
      <c r="F71" s="4205"/>
    </row>
    <row r="72" spans="2:6"/>
  </sheetData>
  <sheetProtection algorithmName="SHA-512" hashValue="2iz15c8hNTQWlckW3sd/6+CEFe2NhPRIXP6tL0VruwSH9G/y0cDpoSj8oB6hBgsnQ6mra7g9w03pabloGmadWA==" saltValue="pAnjTXUWtY/Vru1c/LlLqA==" spinCount="100000" sheet="1" objects="1" scenarios="1" selectLockedCells="1"/>
  <mergeCells count="10">
    <mergeCell ref="B4:C4"/>
    <mergeCell ref="B5:B7"/>
    <mergeCell ref="B10:B33"/>
    <mergeCell ref="B48:B55"/>
    <mergeCell ref="E68:E71"/>
    <mergeCell ref="F68:F71"/>
    <mergeCell ref="B58:B65"/>
    <mergeCell ref="B68:B71"/>
    <mergeCell ref="C68:C71"/>
    <mergeCell ref="D68:D71"/>
  </mergeCells>
  <phoneticPr fontId="21"/>
  <printOptions horizontalCentered="1"/>
  <pageMargins left="0.59055118110236227" right="0.59055118110236227" top="0.78740157480314965" bottom="0.7" header="0.51181102362204722" footer="0.51181102362204722"/>
  <pageSetup paperSize="9" scale="71" orientation="portrait" verticalDpi="300" r:id="rId1"/>
  <headerFooter alignWithMargins="0">
    <oddHeader>&amp;L&amp;F&amp;R&amp;A</oddHeader>
    <oddFooter>&amp;C&amp;P/&amp;N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G90"/>
  <sheetViews>
    <sheetView showGridLines="0" topLeftCell="A71" zoomScaleNormal="100" workbookViewId="0">
      <selection activeCell="F5" sqref="F5"/>
    </sheetView>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 min="8" max="16384" width="9" hidden="1"/>
  </cols>
  <sheetData>
    <row r="1" spans="2:6" ht="6" customHeight="1"/>
    <row r="2" spans="2:6" ht="18.75">
      <c r="B2" s="1692" t="s">
        <v>145</v>
      </c>
      <c r="C2" s="1693"/>
      <c r="D2" s="1693"/>
      <c r="E2" s="1361" t="s">
        <v>2215</v>
      </c>
      <c r="F2" s="2878" t="str">
        <f>メイン!C11</f>
        <v>○○ビル</v>
      </c>
    </row>
    <row r="3" spans="2:6" ht="15.75" customHeight="1">
      <c r="F3" s="1694" t="str">
        <f>メイン!C5</f>
        <v>CASBEE京都-新築2018（v.1.0）</v>
      </c>
    </row>
    <row r="4" spans="2:6">
      <c r="B4" s="4209" t="s">
        <v>1772</v>
      </c>
      <c r="C4" s="4210"/>
      <c r="D4" s="1695" t="s">
        <v>2156</v>
      </c>
      <c r="E4" s="1696" t="s">
        <v>1973</v>
      </c>
      <c r="F4" s="1696" t="s">
        <v>1092</v>
      </c>
    </row>
    <row r="5" spans="2:6" ht="27" customHeight="1">
      <c r="B5" s="1697" t="s">
        <v>2157</v>
      </c>
      <c r="C5" s="1696" t="s">
        <v>1483</v>
      </c>
      <c r="D5" s="1695" t="str">
        <f>メイン!C21</f>
        <v>事務所,集合住宅,</v>
      </c>
      <c r="E5" s="1695" t="str">
        <f>D5</f>
        <v>事務所,集合住宅,</v>
      </c>
      <c r="F5" s="1791"/>
    </row>
    <row r="6" spans="2:6">
      <c r="B6" s="1751"/>
      <c r="C6" s="1696" t="s">
        <v>2158</v>
      </c>
      <c r="D6" s="1698">
        <f>メイン!C19</f>
        <v>20320</v>
      </c>
      <c r="E6" s="1698">
        <f>D6</f>
        <v>20320</v>
      </c>
      <c r="F6" s="1792"/>
    </row>
    <row r="7" spans="2:6">
      <c r="B7" s="1755"/>
      <c r="C7" s="1696" t="s">
        <v>2159</v>
      </c>
      <c r="D7" s="1696" t="str">
        <f>メイン!C23</f>
        <v>RC造</v>
      </c>
      <c r="E7" s="1696" t="str">
        <f>D7</f>
        <v>RC造</v>
      </c>
      <c r="F7" s="1792"/>
    </row>
    <row r="8" spans="2:6" ht="31.5" customHeight="1">
      <c r="B8" s="1695" t="s">
        <v>2160</v>
      </c>
      <c r="C8" s="1700" t="s">
        <v>2161</v>
      </c>
      <c r="D8" s="1793"/>
      <c r="E8" s="1793"/>
      <c r="F8" s="1794"/>
    </row>
    <row r="9" spans="2:6" ht="19.5" customHeight="1">
      <c r="B9" s="1703"/>
      <c r="C9" s="1700" t="s">
        <v>260</v>
      </c>
      <c r="D9" s="1795">
        <v>35</v>
      </c>
      <c r="E9" s="1795">
        <v>30</v>
      </c>
      <c r="F9" s="1794" t="s">
        <v>2162</v>
      </c>
    </row>
    <row r="10" spans="2:6" ht="29.25" customHeight="1">
      <c r="B10" s="4206" t="s">
        <v>1308</v>
      </c>
      <c r="C10" s="1695" t="s">
        <v>1309</v>
      </c>
      <c r="D10" s="1796"/>
      <c r="E10" s="1797"/>
      <c r="F10" s="1792"/>
    </row>
    <row r="11" spans="2:6" ht="29.25" customHeight="1">
      <c r="B11" s="4206"/>
      <c r="C11" s="1695" t="s">
        <v>1310</v>
      </c>
      <c r="D11" s="1796"/>
      <c r="E11" s="1798"/>
      <c r="F11" s="1792"/>
    </row>
    <row r="12" spans="2:6" ht="29.25" customHeight="1">
      <c r="B12" s="4206"/>
      <c r="C12" s="1695" t="s">
        <v>146</v>
      </c>
      <c r="D12" s="1796"/>
      <c r="E12" s="1798"/>
      <c r="F12" s="1794"/>
    </row>
    <row r="13" spans="2:6">
      <c r="B13" s="4206"/>
      <c r="C13" s="1713" t="s">
        <v>1978</v>
      </c>
      <c r="D13" s="1714"/>
      <c r="E13" s="1715"/>
      <c r="F13" s="1716"/>
    </row>
    <row r="14" spans="2:6" ht="14.25">
      <c r="B14" s="4206"/>
      <c r="C14" s="1771" t="s">
        <v>1981</v>
      </c>
      <c r="D14" s="1799" t="s">
        <v>147</v>
      </c>
      <c r="E14" s="1800" t="s">
        <v>148</v>
      </c>
      <c r="F14" s="1801" t="s">
        <v>414</v>
      </c>
    </row>
    <row r="15" spans="2:6" ht="14.25">
      <c r="B15" s="4206"/>
      <c r="C15" s="1802" t="s">
        <v>1983</v>
      </c>
      <c r="D15" s="1803" t="s">
        <v>149</v>
      </c>
      <c r="E15" s="1804" t="s">
        <v>1306</v>
      </c>
      <c r="F15" s="1805" t="s">
        <v>414</v>
      </c>
    </row>
    <row r="16" spans="2:6">
      <c r="B16" s="4206"/>
      <c r="C16" s="1721" t="s">
        <v>1984</v>
      </c>
      <c r="D16" s="1803" t="s">
        <v>416</v>
      </c>
      <c r="E16" s="1804" t="s">
        <v>1306</v>
      </c>
      <c r="F16" s="1806" t="s">
        <v>1985</v>
      </c>
    </row>
    <row r="17" spans="2:6">
      <c r="B17" s="4206"/>
      <c r="C17" s="1721" t="s">
        <v>1986</v>
      </c>
      <c r="D17" s="1803" t="s">
        <v>150</v>
      </c>
      <c r="E17" s="1804" t="s">
        <v>1306</v>
      </c>
      <c r="F17" s="1806" t="s">
        <v>1985</v>
      </c>
    </row>
    <row r="18" spans="2:6">
      <c r="B18" s="4206"/>
      <c r="C18" s="1721" t="s">
        <v>1987</v>
      </c>
      <c r="D18" s="1803" t="s">
        <v>416</v>
      </c>
      <c r="E18" s="1804" t="s">
        <v>1306</v>
      </c>
      <c r="F18" s="1806" t="s">
        <v>1985</v>
      </c>
    </row>
    <row r="19" spans="2:6">
      <c r="B19" s="4206"/>
      <c r="C19" s="1803" t="s">
        <v>415</v>
      </c>
      <c r="D19" s="1803" t="s">
        <v>416</v>
      </c>
      <c r="E19" s="1804" t="s">
        <v>419</v>
      </c>
      <c r="F19" s="1806" t="s">
        <v>1985</v>
      </c>
    </row>
    <row r="20" spans="2:6">
      <c r="B20" s="4206"/>
      <c r="C20" s="1807" t="s">
        <v>415</v>
      </c>
      <c r="D20" s="1807" t="s">
        <v>416</v>
      </c>
      <c r="E20" s="1808" t="s">
        <v>1306</v>
      </c>
      <c r="F20" s="1809" t="s">
        <v>2206</v>
      </c>
    </row>
    <row r="21" spans="2:6">
      <c r="B21" s="4207"/>
      <c r="C21" s="1713" t="s">
        <v>1307</v>
      </c>
      <c r="D21" s="1714"/>
      <c r="E21" s="1715"/>
      <c r="F21" s="1716"/>
    </row>
    <row r="22" spans="2:6" ht="15">
      <c r="B22" s="4206"/>
      <c r="C22" s="1717" t="s">
        <v>1981</v>
      </c>
      <c r="D22" s="1810" t="s">
        <v>147</v>
      </c>
      <c r="E22" s="1811" t="s">
        <v>148</v>
      </c>
      <c r="F22" s="1805" t="s">
        <v>2513</v>
      </c>
    </row>
    <row r="23" spans="2:6" ht="15">
      <c r="B23" s="4206"/>
      <c r="C23" s="1802" t="s">
        <v>1983</v>
      </c>
      <c r="D23" s="1803" t="s">
        <v>149</v>
      </c>
      <c r="E23" s="1804" t="s">
        <v>1306</v>
      </c>
      <c r="F23" s="1806" t="s">
        <v>2513</v>
      </c>
    </row>
    <row r="24" spans="2:6">
      <c r="B24" s="4206"/>
      <c r="C24" s="1721" t="s">
        <v>1984</v>
      </c>
      <c r="D24" s="1803" t="s">
        <v>416</v>
      </c>
      <c r="E24" s="1804" t="s">
        <v>1306</v>
      </c>
      <c r="F24" s="1806" t="s">
        <v>2514</v>
      </c>
    </row>
    <row r="25" spans="2:6">
      <c r="B25" s="4206"/>
      <c r="C25" s="1721" t="s">
        <v>1986</v>
      </c>
      <c r="D25" s="1803" t="s">
        <v>150</v>
      </c>
      <c r="E25" s="1804" t="s">
        <v>1306</v>
      </c>
      <c r="F25" s="1806" t="s">
        <v>2514</v>
      </c>
    </row>
    <row r="26" spans="2:6">
      <c r="B26" s="4206"/>
      <c r="C26" s="1721" t="s">
        <v>1987</v>
      </c>
      <c r="D26" s="1803" t="s">
        <v>416</v>
      </c>
      <c r="E26" s="1804" t="s">
        <v>1306</v>
      </c>
      <c r="F26" s="1806" t="s">
        <v>2514</v>
      </c>
    </row>
    <row r="27" spans="2:6">
      <c r="B27" s="4206"/>
      <c r="C27" s="1812" t="s">
        <v>548</v>
      </c>
      <c r="D27" s="1803" t="s">
        <v>416</v>
      </c>
      <c r="E27" s="1804" t="s">
        <v>419</v>
      </c>
      <c r="F27" s="1806" t="s">
        <v>2514</v>
      </c>
    </row>
    <row r="28" spans="2:6">
      <c r="B28" s="4206"/>
      <c r="C28" s="1807" t="s">
        <v>415</v>
      </c>
      <c r="D28" s="1807" t="s">
        <v>416</v>
      </c>
      <c r="E28" s="1808" t="s">
        <v>1306</v>
      </c>
      <c r="F28" s="1806" t="s">
        <v>2514</v>
      </c>
    </row>
    <row r="29" spans="2:6">
      <c r="B29" s="4207"/>
      <c r="C29" s="1713" t="s">
        <v>234</v>
      </c>
      <c r="D29" s="1714"/>
      <c r="E29" s="1715"/>
      <c r="F29" s="1758"/>
    </row>
    <row r="30" spans="2:6" ht="29.25" customHeight="1">
      <c r="B30" s="4206"/>
      <c r="C30" s="1717" t="s">
        <v>235</v>
      </c>
      <c r="D30" s="1813" t="s">
        <v>151</v>
      </c>
      <c r="E30" s="1813" t="s">
        <v>151</v>
      </c>
      <c r="F30" s="1814"/>
    </row>
    <row r="31" spans="2:6" ht="29.25" customHeight="1">
      <c r="B31" s="4206"/>
      <c r="C31" s="1717" t="s">
        <v>236</v>
      </c>
      <c r="D31" s="1813" t="s">
        <v>152</v>
      </c>
      <c r="E31" s="1813" t="s">
        <v>152</v>
      </c>
      <c r="F31" s="1814"/>
    </row>
    <row r="32" spans="2:6" ht="24" customHeight="1">
      <c r="B32" s="4206"/>
      <c r="C32" s="1721" t="s">
        <v>237</v>
      </c>
      <c r="D32" s="1813" t="s">
        <v>153</v>
      </c>
      <c r="E32" s="1813" t="s">
        <v>153</v>
      </c>
      <c r="F32" s="1815"/>
    </row>
    <row r="33" spans="2:6" ht="24" customHeight="1">
      <c r="B33" s="4206"/>
      <c r="C33" s="1738" t="s">
        <v>238</v>
      </c>
      <c r="D33" s="1816" t="s">
        <v>153</v>
      </c>
      <c r="E33" s="1816" t="s">
        <v>153</v>
      </c>
      <c r="F33" s="1817"/>
    </row>
    <row r="34" spans="2:6" ht="19.5" customHeight="1">
      <c r="B34" s="1697"/>
      <c r="C34" s="1741" t="s">
        <v>260</v>
      </c>
      <c r="D34" s="1818">
        <v>10</v>
      </c>
      <c r="E34" s="1818">
        <v>8</v>
      </c>
      <c r="F34" s="1794" t="s">
        <v>2162</v>
      </c>
    </row>
    <row r="35" spans="2:6">
      <c r="B35" s="1712" t="s">
        <v>154</v>
      </c>
      <c r="C35" s="1744" t="s">
        <v>239</v>
      </c>
      <c r="D35" s="1745"/>
      <c r="E35" s="1745"/>
      <c r="F35" s="1716"/>
    </row>
    <row r="36" spans="2:6">
      <c r="B36" s="1703" t="s">
        <v>421</v>
      </c>
      <c r="C36" s="1746" t="s">
        <v>2149</v>
      </c>
      <c r="D36" s="1819"/>
      <c r="E36" s="1819"/>
      <c r="F36" s="1820"/>
    </row>
    <row r="37" spans="2:6" hidden="1">
      <c r="B37" s="1703"/>
      <c r="C37" s="1746" t="s">
        <v>2151</v>
      </c>
      <c r="D37" s="1819"/>
      <c r="E37" s="1819"/>
      <c r="F37" s="1794"/>
    </row>
    <row r="38" spans="2:6">
      <c r="B38" s="1703"/>
      <c r="C38" s="1700" t="s">
        <v>2152</v>
      </c>
      <c r="D38" s="1793"/>
      <c r="E38" s="1793"/>
      <c r="F38" s="1794"/>
    </row>
    <row r="39" spans="2:6">
      <c r="B39" s="1703"/>
      <c r="C39" s="1741" t="s">
        <v>2153</v>
      </c>
      <c r="D39" s="1821"/>
      <c r="E39" s="1821"/>
      <c r="F39" s="1822"/>
    </row>
    <row r="40" spans="2:6">
      <c r="B40" s="1712"/>
      <c r="C40" s="1744" t="s">
        <v>240</v>
      </c>
      <c r="D40" s="1745"/>
      <c r="E40" s="1745"/>
      <c r="F40" s="1716"/>
    </row>
    <row r="41" spans="2:6">
      <c r="B41" s="1703"/>
      <c r="C41" s="1746" t="s">
        <v>2149</v>
      </c>
      <c r="D41" s="1823"/>
      <c r="E41" s="1823"/>
      <c r="F41" s="1790"/>
    </row>
    <row r="42" spans="2:6">
      <c r="B42" s="1703"/>
      <c r="C42" s="1700" t="s">
        <v>2152</v>
      </c>
      <c r="D42" s="1824"/>
      <c r="E42" s="1824"/>
      <c r="F42" s="1792"/>
    </row>
    <row r="43" spans="2:6">
      <c r="B43" s="1703"/>
      <c r="C43" s="1700" t="s">
        <v>2153</v>
      </c>
      <c r="D43" s="1824"/>
      <c r="E43" s="1824"/>
      <c r="F43" s="1792"/>
    </row>
    <row r="44" spans="2:6" ht="29.25" customHeight="1">
      <c r="B44" s="1756"/>
      <c r="C44" s="1700" t="s">
        <v>515</v>
      </c>
      <c r="D44" s="1796"/>
      <c r="E44" s="1825"/>
      <c r="F44" s="1792"/>
    </row>
    <row r="45" spans="2:6">
      <c r="B45" s="1697"/>
      <c r="C45" s="1744" t="s">
        <v>260</v>
      </c>
      <c r="D45" s="1714"/>
      <c r="E45" s="1757"/>
      <c r="F45" s="1758"/>
    </row>
    <row r="46" spans="2:6" ht="29.25" customHeight="1">
      <c r="B46" s="1703"/>
      <c r="C46" s="1717" t="s">
        <v>422</v>
      </c>
      <c r="D46" s="1795">
        <v>30</v>
      </c>
      <c r="E46" s="1795">
        <v>20</v>
      </c>
      <c r="F46" s="1728" t="s">
        <v>2162</v>
      </c>
    </row>
    <row r="47" spans="2:6" ht="29.25" customHeight="1">
      <c r="B47" s="1703"/>
      <c r="C47" s="1717" t="s">
        <v>155</v>
      </c>
      <c r="D47" s="1759" t="s">
        <v>156</v>
      </c>
      <c r="E47" s="1826">
        <v>-15</v>
      </c>
      <c r="F47" s="1728" t="s">
        <v>2162</v>
      </c>
    </row>
    <row r="48" spans="2:6" ht="18.75" customHeight="1">
      <c r="B48" s="1703"/>
      <c r="C48" s="1827" t="s">
        <v>518</v>
      </c>
      <c r="D48" s="1761" t="s">
        <v>912</v>
      </c>
      <c r="E48" s="1828"/>
      <c r="F48" s="1806"/>
    </row>
    <row r="49" spans="2:6" ht="18.75" customHeight="1">
      <c r="B49" s="1703"/>
      <c r="C49" s="1827"/>
      <c r="D49" s="1764" t="s">
        <v>913</v>
      </c>
      <c r="E49" s="1829"/>
      <c r="F49" s="1806"/>
    </row>
    <row r="50" spans="2:6" ht="18.75" customHeight="1">
      <c r="B50" s="1703"/>
      <c r="C50" s="1827"/>
      <c r="D50" s="1765" t="s">
        <v>914</v>
      </c>
      <c r="E50" s="1828"/>
      <c r="F50" s="1806"/>
    </row>
    <row r="51" spans="2:6" ht="18.75" customHeight="1">
      <c r="B51" s="1703"/>
      <c r="C51" s="1756"/>
      <c r="D51" s="1768" t="s">
        <v>915</v>
      </c>
      <c r="E51" s="1830"/>
      <c r="F51" s="1831"/>
    </row>
    <row r="52" spans="2:6" ht="30.75" customHeight="1">
      <c r="B52" s="4206" t="s">
        <v>517</v>
      </c>
      <c r="C52" s="1827" t="s">
        <v>429</v>
      </c>
      <c r="D52" s="1772" t="s">
        <v>428</v>
      </c>
      <c r="E52" s="1829">
        <v>-25</v>
      </c>
      <c r="F52" s="1773" t="s">
        <v>2162</v>
      </c>
    </row>
    <row r="53" spans="2:6" ht="29.25" customHeight="1">
      <c r="B53" s="4206"/>
      <c r="C53" s="1726" t="s">
        <v>518</v>
      </c>
      <c r="D53" s="1774" t="s">
        <v>1825</v>
      </c>
      <c r="E53" s="1828"/>
      <c r="F53" s="1806"/>
    </row>
    <row r="54" spans="2:6" ht="29.25" customHeight="1">
      <c r="B54" s="4206"/>
      <c r="C54" s="1703"/>
      <c r="D54" s="1774" t="s">
        <v>627</v>
      </c>
      <c r="E54" s="1828"/>
      <c r="F54" s="1806"/>
    </row>
    <row r="55" spans="2:6" ht="24" customHeight="1">
      <c r="B55" s="4206"/>
      <c r="C55" s="1703"/>
      <c r="D55" s="1774" t="s">
        <v>628</v>
      </c>
      <c r="E55" s="1828"/>
      <c r="F55" s="1806"/>
    </row>
    <row r="56" spans="2:6" ht="29.25" customHeight="1">
      <c r="B56" s="4206"/>
      <c r="C56" s="1703"/>
      <c r="D56" s="1774" t="s">
        <v>629</v>
      </c>
      <c r="E56" s="1828"/>
      <c r="F56" s="1806"/>
    </row>
    <row r="57" spans="2:6" ht="30" hidden="1" customHeight="1">
      <c r="B57" s="1703"/>
      <c r="C57" s="1756"/>
      <c r="D57" s="1776"/>
      <c r="E57" s="1828" t="e">
        <f>E80</f>
        <v>#VALUE!</v>
      </c>
      <c r="F57" s="1806" t="s">
        <v>2162</v>
      </c>
    </row>
    <row r="58" spans="2:6" ht="42.75" customHeight="1">
      <c r="B58" s="1740"/>
      <c r="C58" s="1700" t="s">
        <v>916</v>
      </c>
      <c r="D58" s="1796" t="s">
        <v>630</v>
      </c>
      <c r="E58" s="1796" t="s">
        <v>630</v>
      </c>
      <c r="F58" s="1792"/>
    </row>
    <row r="59" spans="2:6" ht="18.75" customHeight="1">
      <c r="B59" s="1740"/>
      <c r="C59" s="1741" t="s">
        <v>335</v>
      </c>
      <c r="D59" s="1832" t="s">
        <v>631</v>
      </c>
      <c r="E59" s="1832" t="s">
        <v>631</v>
      </c>
      <c r="F59" s="1833" t="s">
        <v>2375</v>
      </c>
    </row>
    <row r="60" spans="2:6">
      <c r="B60" s="1740"/>
      <c r="C60" s="1779" t="s">
        <v>835</v>
      </c>
      <c r="D60" s="1745"/>
      <c r="E60" s="1745"/>
      <c r="F60" s="1758"/>
    </row>
    <row r="61" spans="2:6">
      <c r="B61" s="1740"/>
      <c r="C61" s="1780" t="s">
        <v>2267</v>
      </c>
      <c r="D61" s="1834" t="s">
        <v>632</v>
      </c>
      <c r="E61" s="1834" t="s">
        <v>516</v>
      </c>
      <c r="F61" s="1805" t="s">
        <v>142</v>
      </c>
    </row>
    <row r="62" spans="2:6" ht="14.25">
      <c r="B62" s="1740"/>
      <c r="C62" s="1780" t="s">
        <v>2268</v>
      </c>
      <c r="D62" s="1835" t="s">
        <v>632</v>
      </c>
      <c r="E62" s="1835" t="s">
        <v>516</v>
      </c>
      <c r="F62" s="1806" t="s">
        <v>144</v>
      </c>
    </row>
    <row r="63" spans="2:6">
      <c r="B63" s="1740"/>
      <c r="C63" s="1783" t="s">
        <v>2208</v>
      </c>
      <c r="D63" s="1835" t="s">
        <v>632</v>
      </c>
      <c r="E63" s="1835" t="s">
        <v>516</v>
      </c>
      <c r="F63" s="1806" t="s">
        <v>1466</v>
      </c>
    </row>
    <row r="64" spans="2:6" ht="14.25">
      <c r="B64" s="1740"/>
      <c r="C64" s="1783" t="s">
        <v>143</v>
      </c>
      <c r="D64" s="1835" t="s">
        <v>633</v>
      </c>
      <c r="E64" s="1835" t="s">
        <v>516</v>
      </c>
      <c r="F64" s="1806" t="s">
        <v>144</v>
      </c>
    </row>
    <row r="65" spans="2:6" ht="24">
      <c r="B65" s="1740"/>
      <c r="C65" s="1836" t="s">
        <v>2204</v>
      </c>
      <c r="D65" s="1837" t="s">
        <v>245</v>
      </c>
      <c r="E65" s="1837" t="s">
        <v>516</v>
      </c>
      <c r="F65" s="1831" t="s">
        <v>144</v>
      </c>
    </row>
    <row r="66" spans="2:6">
      <c r="B66" s="1703"/>
      <c r="C66" s="1788" t="s">
        <v>2205</v>
      </c>
      <c r="D66" s="1789"/>
      <c r="E66" s="1789"/>
      <c r="F66" s="1790"/>
    </row>
    <row r="67" spans="2:6">
      <c r="B67" s="1703"/>
      <c r="C67" s="1746"/>
      <c r="D67" s="1789"/>
      <c r="E67" s="1789"/>
      <c r="F67" s="1790"/>
    </row>
    <row r="68" spans="2:6">
      <c r="B68" s="4208" t="s">
        <v>283</v>
      </c>
      <c r="C68" s="4203"/>
      <c r="D68" s="4203"/>
      <c r="E68" s="4203"/>
      <c r="F68" s="4203"/>
    </row>
    <row r="69" spans="2:6">
      <c r="B69" s="4208"/>
      <c r="C69" s="4204"/>
      <c r="D69" s="4204"/>
      <c r="E69" s="4204"/>
      <c r="F69" s="4204"/>
    </row>
    <row r="70" spans="2:6">
      <c r="B70" s="4208"/>
      <c r="C70" s="4204"/>
      <c r="D70" s="4204"/>
      <c r="E70" s="4204"/>
      <c r="F70" s="4204"/>
    </row>
    <row r="71" spans="2:6">
      <c r="B71" s="4208"/>
      <c r="C71" s="4205"/>
      <c r="D71" s="4205"/>
      <c r="E71" s="4205"/>
      <c r="F71" s="4205"/>
    </row>
    <row r="72" spans="2:6"/>
    <row r="73" spans="2:6">
      <c r="B73" t="s">
        <v>3057</v>
      </c>
    </row>
    <row r="74" spans="2:6">
      <c r="B74" s="1697"/>
      <c r="C74" s="1713" t="s">
        <v>3058</v>
      </c>
      <c r="D74" s="1714"/>
      <c r="E74" s="1715"/>
      <c r="F74" s="1729"/>
    </row>
    <row r="75" spans="2:6">
      <c r="B75" s="1703"/>
      <c r="C75" s="1726" t="s">
        <v>566</v>
      </c>
      <c r="D75" s="1722" t="s">
        <v>634</v>
      </c>
      <c r="E75" s="1838">
        <f>(計画書!J84+計画書!K84+計画書!L84)/CO2データ!$J$96*1000</f>
        <v>0</v>
      </c>
      <c r="F75" s="1725" t="s">
        <v>635</v>
      </c>
    </row>
    <row r="76" spans="2:6">
      <c r="B76" s="1703" t="s">
        <v>569</v>
      </c>
      <c r="C76" s="1703"/>
      <c r="D76" s="1722" t="s">
        <v>636</v>
      </c>
      <c r="E76" s="1838">
        <f>(計画書!J85+計画書!K85+計画書!L85)/CO2データ!$J$96*1000</f>
        <v>0</v>
      </c>
      <c r="F76" s="1725" t="s">
        <v>637</v>
      </c>
    </row>
    <row r="77" spans="2:6">
      <c r="B77" s="1703" t="s">
        <v>638</v>
      </c>
      <c r="C77" s="1717"/>
      <c r="D77" s="1722" t="s">
        <v>639</v>
      </c>
      <c r="E77" s="1838">
        <f>E75-E76</f>
        <v>0</v>
      </c>
      <c r="F77" s="1725" t="s">
        <v>637</v>
      </c>
    </row>
    <row r="78" spans="2:6">
      <c r="B78" s="1703"/>
      <c r="C78" s="1726" t="s">
        <v>1880</v>
      </c>
      <c r="D78" s="1722" t="s">
        <v>1720</v>
      </c>
      <c r="E78" s="1723" t="e">
        <f>E75*E81/E$6</f>
        <v>#VALUE!</v>
      </c>
      <c r="F78" s="1839" t="s">
        <v>2162</v>
      </c>
    </row>
    <row r="79" spans="2:6">
      <c r="B79" s="1703"/>
      <c r="C79" s="1703"/>
      <c r="D79" s="1722" t="s">
        <v>636</v>
      </c>
      <c r="E79" s="1723" t="e">
        <f>E78-E80</f>
        <v>#VALUE!</v>
      </c>
      <c r="F79" s="1839" t="s">
        <v>2162</v>
      </c>
    </row>
    <row r="80" spans="2:6">
      <c r="B80" s="1703"/>
      <c r="C80" s="1717"/>
      <c r="D80" s="1722" t="s">
        <v>639</v>
      </c>
      <c r="E80" s="1723" t="e">
        <f>E77*E82/E$6</f>
        <v>#VALUE!</v>
      </c>
      <c r="F80" s="1839" t="s">
        <v>2162</v>
      </c>
    </row>
    <row r="81" spans="2:6" hidden="1">
      <c r="B81" s="1703"/>
      <c r="C81" s="1726" t="s">
        <v>1881</v>
      </c>
      <c r="D81" s="1722" t="s">
        <v>1721</v>
      </c>
      <c r="E81" s="1840" t="e">
        <f>CO2データ!I95</f>
        <v>#VALUE!</v>
      </c>
      <c r="F81" s="1839" t="s">
        <v>871</v>
      </c>
    </row>
    <row r="82" spans="2:6" hidden="1">
      <c r="B82" s="1703"/>
      <c r="C82" s="1703"/>
      <c r="D82" s="1722" t="s">
        <v>872</v>
      </c>
      <c r="E82" s="1840" t="e">
        <f>CO2データ!I95</f>
        <v>#VALUE!</v>
      </c>
      <c r="F82" s="1839" t="s">
        <v>871</v>
      </c>
    </row>
    <row r="83" spans="2:6" hidden="1">
      <c r="B83" s="1703"/>
      <c r="C83" s="1717"/>
      <c r="D83" s="1722" t="s">
        <v>1092</v>
      </c>
      <c r="E83" s="1723" t="s">
        <v>964</v>
      </c>
      <c r="F83" s="1725"/>
    </row>
    <row r="84" spans="2:6">
      <c r="B84" s="1703"/>
      <c r="C84" s="1713" t="s">
        <v>965</v>
      </c>
      <c r="D84" s="1714"/>
      <c r="E84" s="1715"/>
      <c r="F84" s="1729"/>
    </row>
    <row r="85" spans="2:6">
      <c r="B85" s="1703"/>
      <c r="C85" s="1841" t="s">
        <v>1747</v>
      </c>
      <c r="D85" s="1718"/>
      <c r="E85" s="1842" t="e">
        <f>(CO2計算!I125*計画書!T96+CO2計算!I127*CO2データ!N208+CO2計算!I126*CO2データ!N207)/CO2データ!J96*1000</f>
        <v>#VALUE!</v>
      </c>
      <c r="F85" s="1724" t="s">
        <v>635</v>
      </c>
    </row>
    <row r="86" spans="2:6">
      <c r="B86" s="1703"/>
      <c r="C86" s="1726" t="s">
        <v>1440</v>
      </c>
      <c r="D86" s="1722" t="s">
        <v>966</v>
      </c>
      <c r="E86" s="1840" t="e">
        <f>係数!D5*1000</f>
        <v>#VALUE!</v>
      </c>
      <c r="F86" s="1839" t="s">
        <v>1748</v>
      </c>
    </row>
    <row r="87" spans="2:6">
      <c r="B87" s="1703"/>
      <c r="C87" s="1717"/>
      <c r="D87" s="1722" t="s">
        <v>884</v>
      </c>
      <c r="E87" s="1840" t="e">
        <f>係数!J89*1000</f>
        <v>#VALUE!</v>
      </c>
      <c r="F87" s="1839" t="s">
        <v>871</v>
      </c>
    </row>
    <row r="88" spans="2:6">
      <c r="B88" s="1703"/>
      <c r="C88" s="1726" t="s">
        <v>1749</v>
      </c>
      <c r="D88" s="1843" t="s">
        <v>2127</v>
      </c>
      <c r="E88" s="1844" t="e">
        <f>E85*(E86-E87)</f>
        <v>#VALUE!</v>
      </c>
      <c r="F88" s="1839" t="s">
        <v>336</v>
      </c>
    </row>
    <row r="89" spans="2:6">
      <c r="B89" s="1756"/>
      <c r="C89" s="1756"/>
      <c r="D89" s="1845" t="s">
        <v>967</v>
      </c>
      <c r="E89" s="1846" t="e">
        <f>E88/E6</f>
        <v>#VALUE!</v>
      </c>
      <c r="F89" s="1787" t="s">
        <v>2162</v>
      </c>
    </row>
    <row r="90" spans="2:6"/>
  </sheetData>
  <sheetProtection algorithmName="SHA-512" hashValue="yuPgZ7AaSlVLuI6hWkDbJYOGpl/MUscBl4HaVUHskmYHPEvqziPkn7SQwRYFIJz1GRqVMCxFyeTSmpbopGJnJQ==" saltValue="BdmpvoIh8TBLE1MBzGjgPw==" spinCount="100000" sheet="1" objects="1" scenarios="1" selectLockedCells="1"/>
  <mergeCells count="8">
    <mergeCell ref="D68:D71"/>
    <mergeCell ref="E68:E71"/>
    <mergeCell ref="F68:F71"/>
    <mergeCell ref="B4:C4"/>
    <mergeCell ref="B10:B33"/>
    <mergeCell ref="B68:B71"/>
    <mergeCell ref="C68:C71"/>
    <mergeCell ref="B52:B56"/>
  </mergeCells>
  <phoneticPr fontId="21"/>
  <printOptions horizontalCentered="1"/>
  <pageMargins left="0.59055118110236227" right="0.59055118110236227" top="0.78740157480314965" bottom="0.59055118110236227" header="0.51181102362204722" footer="0.51181102362204722"/>
  <pageSetup paperSize="9" scale="64" fitToHeight="2" orientation="portrait" verticalDpi="300" r:id="rId1"/>
  <headerFooter alignWithMargins="0">
    <oddHeader>&amp;L&amp;F&amp;R&amp;A</oddHeader>
    <oddFooter>&amp;C&amp;P/&amp;N</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AA317"/>
  <sheetViews>
    <sheetView showGridLines="0" topLeftCell="A123" zoomScaleNormal="100" zoomScaleSheetLayoutView="100" workbookViewId="0">
      <selection activeCell="C23" sqref="C23:G23"/>
    </sheetView>
  </sheetViews>
  <sheetFormatPr defaultColWidth="0" defaultRowHeight="13.5" zeroHeight="1"/>
  <cols>
    <col min="1" max="2" width="1.5" customWidth="1"/>
    <col min="3" max="3" width="5.375" customWidth="1"/>
    <col min="4" max="4" width="11" customWidth="1"/>
    <col min="5" max="5" width="12.875" customWidth="1"/>
    <col min="6" max="6" width="8.375" customWidth="1"/>
    <col min="7" max="8" width="7.625" customWidth="1"/>
    <col min="9" max="18" width="11.25" customWidth="1"/>
    <col min="19" max="19" width="10" hidden="1" customWidth="1"/>
    <col min="20" max="20" width="20" hidden="1" customWidth="1"/>
    <col min="21" max="26" width="12.75" hidden="1" customWidth="1"/>
    <col min="27" max="16384" width="9" hidden="1"/>
  </cols>
  <sheetData>
    <row r="1" spans="2:17" ht="14.25">
      <c r="B1" s="1620" t="s">
        <v>401</v>
      </c>
    </row>
    <row r="2" spans="2:17" ht="4.5" customHeight="1"/>
    <row r="3" spans="2:17">
      <c r="C3" s="1621" t="s">
        <v>2318</v>
      </c>
      <c r="D3" s="1622"/>
      <c r="E3" s="1623"/>
      <c r="F3" s="1623"/>
      <c r="G3" s="1623"/>
      <c r="H3" s="1623"/>
      <c r="I3" s="1624" t="s">
        <v>261</v>
      </c>
      <c r="J3" s="1625"/>
      <c r="K3" s="1625"/>
      <c r="L3" s="1626"/>
      <c r="M3" s="1626"/>
      <c r="N3" s="1626"/>
      <c r="O3" s="1626"/>
      <c r="P3" s="1626"/>
      <c r="Q3" s="1627"/>
    </row>
    <row r="4" spans="2:17">
      <c r="C4" s="1628"/>
      <c r="D4" s="1629" t="s">
        <v>2319</v>
      </c>
      <c r="E4" s="1628"/>
      <c r="F4" s="1628"/>
      <c r="G4" s="1628"/>
      <c r="H4" s="1628"/>
      <c r="I4" s="1630" t="s">
        <v>3053</v>
      </c>
      <c r="J4" s="1626" t="s">
        <v>610</v>
      </c>
      <c r="K4" s="1631"/>
      <c r="L4" s="1630" t="s">
        <v>607</v>
      </c>
      <c r="M4" s="1626"/>
      <c r="N4" s="1631"/>
      <c r="O4" s="1630" t="s">
        <v>609</v>
      </c>
      <c r="P4" s="1626"/>
      <c r="Q4" s="1631"/>
    </row>
    <row r="5" spans="2:17">
      <c r="C5" s="1632" t="s">
        <v>321</v>
      </c>
      <c r="D5" s="1633"/>
      <c r="E5" s="1634"/>
      <c r="F5" s="1635"/>
      <c r="G5" s="1636"/>
      <c r="H5" s="1636"/>
      <c r="I5" s="1637" t="s">
        <v>1886</v>
      </c>
      <c r="J5" s="1637" t="s">
        <v>1887</v>
      </c>
      <c r="K5" s="1637" t="s">
        <v>1888</v>
      </c>
      <c r="L5" s="1637" t="s">
        <v>1886</v>
      </c>
      <c r="M5" s="1637" t="s">
        <v>1887</v>
      </c>
      <c r="N5" s="1637" t="s">
        <v>1888</v>
      </c>
      <c r="O5" s="1637" t="s">
        <v>1886</v>
      </c>
      <c r="P5" s="1637" t="s">
        <v>1887</v>
      </c>
      <c r="Q5" s="1637" t="s">
        <v>1888</v>
      </c>
    </row>
    <row r="6" spans="2:17" hidden="1">
      <c r="C6" s="1638"/>
      <c r="D6" s="1639"/>
      <c r="E6" s="1638"/>
      <c r="F6" s="1638"/>
      <c r="G6" s="1640">
        <v>1</v>
      </c>
      <c r="H6" s="1640"/>
      <c r="I6" s="1636">
        <v>3</v>
      </c>
      <c r="J6" s="1636">
        <v>4</v>
      </c>
      <c r="K6" s="1636">
        <v>5</v>
      </c>
      <c r="L6" s="1636">
        <v>6</v>
      </c>
      <c r="M6" s="1636">
        <v>7</v>
      </c>
      <c r="N6" s="1636">
        <v>8</v>
      </c>
      <c r="O6" s="1636">
        <v>9</v>
      </c>
      <c r="P6" s="1636">
        <v>10</v>
      </c>
      <c r="Q6" s="1636">
        <v>11</v>
      </c>
    </row>
    <row r="7" spans="2:17">
      <c r="C7" s="1641" t="s">
        <v>356</v>
      </c>
      <c r="D7" s="1642"/>
      <c r="E7" s="1634"/>
      <c r="F7" s="1635"/>
      <c r="G7" s="1640">
        <v>10</v>
      </c>
      <c r="H7" s="1640"/>
      <c r="I7" s="1643">
        <v>14.004999999999999</v>
      </c>
      <c r="J7" s="1643">
        <v>14.004999999999999</v>
      </c>
      <c r="K7" s="1643">
        <v>14.004999999999999</v>
      </c>
      <c r="L7" s="1643">
        <v>13.23</v>
      </c>
      <c r="M7" s="1643">
        <v>13.23</v>
      </c>
      <c r="N7" s="1643">
        <v>13.23</v>
      </c>
      <c r="O7" s="1643">
        <v>13.998000000000001</v>
      </c>
      <c r="P7" s="1643">
        <v>13.998000000000001</v>
      </c>
      <c r="Q7" s="1643">
        <v>13.998000000000001</v>
      </c>
    </row>
    <row r="8" spans="2:17">
      <c r="C8" s="1644"/>
      <c r="D8" s="844" t="s">
        <v>1979</v>
      </c>
      <c r="E8" s="844"/>
      <c r="F8" s="1645">
        <v>1</v>
      </c>
      <c r="G8" s="1640">
        <v>11</v>
      </c>
      <c r="H8" s="1640"/>
      <c r="I8" s="1646">
        <v>6.4519999999999991</v>
      </c>
      <c r="J8" s="1646">
        <v>6.4519999999999991</v>
      </c>
      <c r="K8" s="1646">
        <v>6.4519999999999991</v>
      </c>
      <c r="L8" s="1646">
        <v>6.6009999999999991</v>
      </c>
      <c r="M8" s="1646">
        <v>6.6009999999999991</v>
      </c>
      <c r="N8" s="1646">
        <v>6.6009999999999991</v>
      </c>
      <c r="O8" s="1646">
        <v>6.5150000000000006</v>
      </c>
      <c r="P8" s="1646">
        <v>6.5150000000000006</v>
      </c>
      <c r="Q8" s="1646">
        <v>6.5150000000000006</v>
      </c>
    </row>
    <row r="9" spans="2:17">
      <c r="C9" s="1644"/>
      <c r="D9" s="844" t="s">
        <v>1980</v>
      </c>
      <c r="E9" s="844"/>
      <c r="F9" s="1645">
        <v>1</v>
      </c>
      <c r="G9" s="1647">
        <v>12</v>
      </c>
      <c r="H9" s="1647"/>
      <c r="I9" s="1646">
        <v>13.42</v>
      </c>
      <c r="J9" s="1646">
        <v>13.42</v>
      </c>
      <c r="K9" s="1646">
        <v>13.42</v>
      </c>
      <c r="L9" s="1646">
        <v>12.416</v>
      </c>
      <c r="M9" s="1646">
        <v>12.416</v>
      </c>
      <c r="N9" s="1646">
        <v>12.416</v>
      </c>
      <c r="O9" s="1646">
        <v>13.272</v>
      </c>
      <c r="P9" s="1646">
        <v>13.272</v>
      </c>
      <c r="Q9" s="1646">
        <v>13.272</v>
      </c>
    </row>
    <row r="10" spans="2:17" hidden="1">
      <c r="C10" s="1648"/>
      <c r="D10" s="1650" t="s">
        <v>2320</v>
      </c>
      <c r="E10" s="1650"/>
      <c r="F10" s="1651"/>
      <c r="G10" s="1652">
        <v>13</v>
      </c>
      <c r="H10" s="1652">
        <f>CO2計算!$F$21</f>
        <v>0</v>
      </c>
      <c r="I10" s="1646">
        <f>(I7-I8)*$H10</f>
        <v>0</v>
      </c>
      <c r="J10" s="1646">
        <f t="shared" ref="J10:Q10" si="0">(J7-J8)*$H10</f>
        <v>0</v>
      </c>
      <c r="K10" s="1646">
        <f t="shared" si="0"/>
        <v>0</v>
      </c>
      <c r="L10" s="1646">
        <f t="shared" si="0"/>
        <v>0</v>
      </c>
      <c r="M10" s="1646">
        <f t="shared" si="0"/>
        <v>0</v>
      </c>
      <c r="N10" s="1646">
        <f t="shared" si="0"/>
        <v>0</v>
      </c>
      <c r="O10" s="1646">
        <f t="shared" si="0"/>
        <v>0</v>
      </c>
      <c r="P10" s="1646">
        <f t="shared" si="0"/>
        <v>0</v>
      </c>
      <c r="Q10" s="1646">
        <f t="shared" si="0"/>
        <v>0</v>
      </c>
    </row>
    <row r="11" spans="2:17" hidden="1">
      <c r="C11" s="1648"/>
      <c r="D11" s="1650" t="s">
        <v>2321</v>
      </c>
      <c r="E11" s="1650"/>
      <c r="F11" s="1651"/>
      <c r="G11" s="1653">
        <v>14</v>
      </c>
      <c r="H11" s="1652">
        <f>CO2計算!$F$22</f>
        <v>0</v>
      </c>
      <c r="I11" s="1646">
        <f t="shared" ref="I11:Q11" si="1">(I7-I9)*$H11</f>
        <v>0</v>
      </c>
      <c r="J11" s="1646">
        <f t="shared" si="1"/>
        <v>0</v>
      </c>
      <c r="K11" s="1646">
        <f t="shared" si="1"/>
        <v>0</v>
      </c>
      <c r="L11" s="1646">
        <f t="shared" si="1"/>
        <v>0</v>
      </c>
      <c r="M11" s="1646">
        <f t="shared" si="1"/>
        <v>0</v>
      </c>
      <c r="N11" s="1646">
        <f t="shared" si="1"/>
        <v>0</v>
      </c>
      <c r="O11" s="1646">
        <f t="shared" si="1"/>
        <v>0</v>
      </c>
      <c r="P11" s="1646">
        <f t="shared" si="1"/>
        <v>0</v>
      </c>
      <c r="Q11" s="1646">
        <f t="shared" si="1"/>
        <v>0</v>
      </c>
    </row>
    <row r="12" spans="2:17" hidden="1">
      <c r="C12" s="1654"/>
      <c r="D12" s="1650" t="s">
        <v>374</v>
      </c>
      <c r="E12" s="1650"/>
      <c r="F12" s="1651"/>
      <c r="G12" s="1656">
        <v>15</v>
      </c>
      <c r="H12" s="1656"/>
      <c r="I12" s="1646">
        <f t="shared" ref="I12:Q12" si="2">I7-I10-I11</f>
        <v>14.004999999999999</v>
      </c>
      <c r="J12" s="1646">
        <f t="shared" si="2"/>
        <v>14.004999999999999</v>
      </c>
      <c r="K12" s="1646">
        <f t="shared" si="2"/>
        <v>14.004999999999999</v>
      </c>
      <c r="L12" s="1646">
        <f t="shared" si="2"/>
        <v>13.23</v>
      </c>
      <c r="M12" s="1646">
        <f t="shared" si="2"/>
        <v>13.23</v>
      </c>
      <c r="N12" s="1646">
        <f t="shared" si="2"/>
        <v>13.23</v>
      </c>
      <c r="O12" s="1646">
        <f t="shared" si="2"/>
        <v>13.998000000000001</v>
      </c>
      <c r="P12" s="1646">
        <f t="shared" si="2"/>
        <v>13.998000000000001</v>
      </c>
      <c r="Q12" s="1646">
        <f t="shared" si="2"/>
        <v>13.998000000000001</v>
      </c>
    </row>
    <row r="13" spans="2:17">
      <c r="C13" s="1641" t="s">
        <v>1462</v>
      </c>
      <c r="D13" s="1634"/>
      <c r="E13" s="1634"/>
      <c r="F13" s="1635"/>
      <c r="G13" s="1640">
        <f t="shared" ref="G13:G60" si="3">G7+10</f>
        <v>20</v>
      </c>
      <c r="H13" s="1640"/>
      <c r="I13" s="1643">
        <v>10.473000000000001</v>
      </c>
      <c r="J13" s="1643">
        <v>10.473000000000001</v>
      </c>
      <c r="K13" s="1643">
        <v>10.473000000000001</v>
      </c>
      <c r="L13" s="1643">
        <v>11.762999999999998</v>
      </c>
      <c r="M13" s="1643">
        <v>11.762999999999998</v>
      </c>
      <c r="N13" s="1643">
        <v>11.762999999999998</v>
      </c>
      <c r="O13" s="1643">
        <v>14.002000000000002</v>
      </c>
      <c r="P13" s="1643">
        <v>14.002000000000002</v>
      </c>
      <c r="Q13" s="1643">
        <v>14.002000000000002</v>
      </c>
    </row>
    <row r="14" spans="2:17">
      <c r="C14" s="1644"/>
      <c r="D14" s="844" t="s">
        <v>1979</v>
      </c>
      <c r="E14" s="844"/>
      <c r="F14" s="1645">
        <v>1</v>
      </c>
      <c r="G14" s="1640">
        <f t="shared" si="3"/>
        <v>21</v>
      </c>
      <c r="H14" s="1640"/>
      <c r="I14" s="1646">
        <v>5.2279999999999998</v>
      </c>
      <c r="J14" s="1646">
        <v>5.2279999999999998</v>
      </c>
      <c r="K14" s="1646">
        <v>5.2279999999999998</v>
      </c>
      <c r="L14" s="1646">
        <v>5.3689999999999998</v>
      </c>
      <c r="M14" s="1646">
        <v>5.3689999999999998</v>
      </c>
      <c r="N14" s="1646">
        <v>5.3689999999999998</v>
      </c>
      <c r="O14" s="1646">
        <v>5.2780000000000005</v>
      </c>
      <c r="P14" s="1646">
        <v>5.2780000000000005</v>
      </c>
      <c r="Q14" s="1646">
        <v>5.2780000000000005</v>
      </c>
    </row>
    <row r="15" spans="2:17">
      <c r="C15" s="1644"/>
      <c r="D15" s="844" t="s">
        <v>1980</v>
      </c>
      <c r="E15" s="844"/>
      <c r="F15" s="1645">
        <v>1</v>
      </c>
      <c r="G15" s="1640">
        <f t="shared" si="3"/>
        <v>22</v>
      </c>
      <c r="H15" s="1647"/>
      <c r="I15" s="1646">
        <v>10.11</v>
      </c>
      <c r="J15" s="1646">
        <v>10.11</v>
      </c>
      <c r="K15" s="1646">
        <v>10.11</v>
      </c>
      <c r="L15" s="1646">
        <v>10.846</v>
      </c>
      <c r="M15" s="1646">
        <v>10.846</v>
      </c>
      <c r="N15" s="1646">
        <v>10.846</v>
      </c>
      <c r="O15" s="1646">
        <v>13.005000000000001</v>
      </c>
      <c r="P15" s="1646">
        <v>13.005000000000001</v>
      </c>
      <c r="Q15" s="1646">
        <v>13.005000000000001</v>
      </c>
    </row>
    <row r="16" spans="2:17" hidden="1">
      <c r="C16" s="1648"/>
      <c r="D16" s="1650" t="s">
        <v>2320</v>
      </c>
      <c r="E16" s="1650"/>
      <c r="F16" s="1651"/>
      <c r="G16" s="1640">
        <f t="shared" si="3"/>
        <v>23</v>
      </c>
      <c r="H16" s="1652">
        <f>CO2計算!$F$21</f>
        <v>0</v>
      </c>
      <c r="I16" s="1646">
        <f>(I13-I14)*$H16</f>
        <v>0</v>
      </c>
      <c r="J16" s="1646">
        <f t="shared" ref="J16:Q16" si="4">(J13-J14)*$H16</f>
        <v>0</v>
      </c>
      <c r="K16" s="1646">
        <f t="shared" si="4"/>
        <v>0</v>
      </c>
      <c r="L16" s="1646">
        <f t="shared" si="4"/>
        <v>0</v>
      </c>
      <c r="M16" s="1646">
        <f t="shared" si="4"/>
        <v>0</v>
      </c>
      <c r="N16" s="1646">
        <f t="shared" si="4"/>
        <v>0</v>
      </c>
      <c r="O16" s="1646">
        <f t="shared" si="4"/>
        <v>0</v>
      </c>
      <c r="P16" s="1646">
        <f t="shared" si="4"/>
        <v>0</v>
      </c>
      <c r="Q16" s="1646">
        <f t="shared" si="4"/>
        <v>0</v>
      </c>
    </row>
    <row r="17" spans="3:17" hidden="1">
      <c r="C17" s="1648"/>
      <c r="D17" s="1650" t="s">
        <v>2321</v>
      </c>
      <c r="E17" s="1650"/>
      <c r="F17" s="1651"/>
      <c r="G17" s="1640">
        <f t="shared" si="3"/>
        <v>24</v>
      </c>
      <c r="H17" s="1652">
        <f>CO2計算!$F$22</f>
        <v>0</v>
      </c>
      <c r="I17" s="1646">
        <f t="shared" ref="I17:Q17" si="5">(I13-I15)*$H17</f>
        <v>0</v>
      </c>
      <c r="J17" s="1646">
        <f t="shared" si="5"/>
        <v>0</v>
      </c>
      <c r="K17" s="1646">
        <f t="shared" si="5"/>
        <v>0</v>
      </c>
      <c r="L17" s="1646">
        <f t="shared" si="5"/>
        <v>0</v>
      </c>
      <c r="M17" s="1646">
        <f t="shared" si="5"/>
        <v>0</v>
      </c>
      <c r="N17" s="1646">
        <f t="shared" si="5"/>
        <v>0</v>
      </c>
      <c r="O17" s="1646">
        <f t="shared" si="5"/>
        <v>0</v>
      </c>
      <c r="P17" s="1646">
        <f t="shared" si="5"/>
        <v>0</v>
      </c>
      <c r="Q17" s="1646">
        <f t="shared" si="5"/>
        <v>0</v>
      </c>
    </row>
    <row r="18" spans="3:17" hidden="1">
      <c r="C18" s="1654"/>
      <c r="D18" s="1650" t="s">
        <v>374</v>
      </c>
      <c r="E18" s="1650"/>
      <c r="F18" s="1651"/>
      <c r="G18" s="1640">
        <f t="shared" si="3"/>
        <v>25</v>
      </c>
      <c r="H18" s="1656"/>
      <c r="I18" s="1646">
        <f t="shared" ref="I18:Q18" si="6">I13-I16-I17</f>
        <v>10.473000000000001</v>
      </c>
      <c r="J18" s="1646">
        <f t="shared" si="6"/>
        <v>10.473000000000001</v>
      </c>
      <c r="K18" s="1646">
        <f t="shared" si="6"/>
        <v>10.473000000000001</v>
      </c>
      <c r="L18" s="1646">
        <f t="shared" si="6"/>
        <v>11.762999999999998</v>
      </c>
      <c r="M18" s="1646">
        <f t="shared" si="6"/>
        <v>11.762999999999998</v>
      </c>
      <c r="N18" s="1646">
        <f t="shared" si="6"/>
        <v>11.762999999999998</v>
      </c>
      <c r="O18" s="1646">
        <f t="shared" si="6"/>
        <v>14.002000000000002</v>
      </c>
      <c r="P18" s="1646">
        <f t="shared" si="6"/>
        <v>14.002000000000002</v>
      </c>
      <c r="Q18" s="1646">
        <f t="shared" si="6"/>
        <v>14.002000000000002</v>
      </c>
    </row>
    <row r="19" spans="3:17">
      <c r="C19" s="1641" t="s">
        <v>1614</v>
      </c>
      <c r="D19" s="1634"/>
      <c r="E19" s="1634"/>
      <c r="F19" s="1635"/>
      <c r="G19" s="1640">
        <f t="shared" si="3"/>
        <v>30</v>
      </c>
      <c r="H19" s="1640"/>
      <c r="I19" s="1643">
        <v>16.572000000000003</v>
      </c>
      <c r="J19" s="1643">
        <v>16.572000000000003</v>
      </c>
      <c r="K19" s="1643">
        <v>16.572000000000003</v>
      </c>
      <c r="L19" s="1643">
        <v>22.385999999999999</v>
      </c>
      <c r="M19" s="1643">
        <v>22.385999999999999</v>
      </c>
      <c r="N19" s="1643">
        <v>22.385999999999999</v>
      </c>
      <c r="O19" s="1643">
        <v>16.960999999999999</v>
      </c>
      <c r="P19" s="1643">
        <v>16.960999999999999</v>
      </c>
      <c r="Q19" s="1643">
        <v>16.960999999999999</v>
      </c>
    </row>
    <row r="20" spans="3:17">
      <c r="C20" s="1644"/>
      <c r="D20" s="844" t="s">
        <v>1979</v>
      </c>
      <c r="E20" s="844"/>
      <c r="F20" s="1645">
        <v>1</v>
      </c>
      <c r="G20" s="1640">
        <f t="shared" si="3"/>
        <v>31</v>
      </c>
      <c r="H20" s="1640"/>
      <c r="I20" s="1646">
        <v>8.4039999999999999</v>
      </c>
      <c r="J20" s="1646">
        <v>8.4039999999999999</v>
      </c>
      <c r="K20" s="1646">
        <v>8.4039999999999999</v>
      </c>
      <c r="L20" s="1646">
        <v>8.5990000000000002</v>
      </c>
      <c r="M20" s="1646">
        <v>8.5990000000000002</v>
      </c>
      <c r="N20" s="1646">
        <v>8.5990000000000002</v>
      </c>
      <c r="O20" s="1646">
        <v>8.4849999999999994</v>
      </c>
      <c r="P20" s="1646">
        <v>8.4849999999999994</v>
      </c>
      <c r="Q20" s="1646">
        <v>8.4849999999999994</v>
      </c>
    </row>
    <row r="21" spans="3:17">
      <c r="C21" s="1644"/>
      <c r="D21" s="844" t="s">
        <v>1980</v>
      </c>
      <c r="E21" s="844"/>
      <c r="F21" s="1645">
        <v>1</v>
      </c>
      <c r="G21" s="1640">
        <f t="shared" si="3"/>
        <v>32</v>
      </c>
      <c r="H21" s="1647"/>
      <c r="I21" s="1646">
        <v>15.867000000000001</v>
      </c>
      <c r="J21" s="1646">
        <v>15.867000000000001</v>
      </c>
      <c r="K21" s="1646">
        <v>15.867000000000001</v>
      </c>
      <c r="L21" s="1646">
        <v>20.512</v>
      </c>
      <c r="M21" s="1646">
        <v>20.512</v>
      </c>
      <c r="N21" s="1646">
        <v>20.512</v>
      </c>
      <c r="O21" s="1646">
        <v>16.321999999999999</v>
      </c>
      <c r="P21" s="1646">
        <v>16.321999999999999</v>
      </c>
      <c r="Q21" s="1646">
        <v>16.321999999999999</v>
      </c>
    </row>
    <row r="22" spans="3:17" hidden="1">
      <c r="C22" s="1648"/>
      <c r="D22" s="1650" t="s">
        <v>2320</v>
      </c>
      <c r="E22" s="1650"/>
      <c r="F22" s="1651"/>
      <c r="G22" s="1640">
        <f t="shared" si="3"/>
        <v>33</v>
      </c>
      <c r="H22" s="1652">
        <f>CO2計算!$F$21</f>
        <v>0</v>
      </c>
      <c r="I22" s="1646">
        <f>(I19-I20)*$H22</f>
        <v>0</v>
      </c>
      <c r="J22" s="1646">
        <f t="shared" ref="J22:Q22" si="7">(J19-J20)*$H22</f>
        <v>0</v>
      </c>
      <c r="K22" s="1646">
        <f t="shared" si="7"/>
        <v>0</v>
      </c>
      <c r="L22" s="1646">
        <f t="shared" si="7"/>
        <v>0</v>
      </c>
      <c r="M22" s="1646">
        <f t="shared" si="7"/>
        <v>0</v>
      </c>
      <c r="N22" s="1646">
        <f t="shared" si="7"/>
        <v>0</v>
      </c>
      <c r="O22" s="1646">
        <f t="shared" si="7"/>
        <v>0</v>
      </c>
      <c r="P22" s="1646">
        <f t="shared" si="7"/>
        <v>0</v>
      </c>
      <c r="Q22" s="1646">
        <f t="shared" si="7"/>
        <v>0</v>
      </c>
    </row>
    <row r="23" spans="3:17" hidden="1">
      <c r="C23" s="1648"/>
      <c r="D23" s="1650" t="s">
        <v>2321</v>
      </c>
      <c r="E23" s="1650"/>
      <c r="F23" s="1651"/>
      <c r="G23" s="1640">
        <f t="shared" si="3"/>
        <v>34</v>
      </c>
      <c r="H23" s="1652">
        <f>CO2計算!$F$22</f>
        <v>0</v>
      </c>
      <c r="I23" s="1646">
        <f t="shared" ref="I23:Q23" si="8">(I19-I21)*$H23</f>
        <v>0</v>
      </c>
      <c r="J23" s="1646">
        <f t="shared" si="8"/>
        <v>0</v>
      </c>
      <c r="K23" s="1646">
        <f t="shared" si="8"/>
        <v>0</v>
      </c>
      <c r="L23" s="1646">
        <f t="shared" si="8"/>
        <v>0</v>
      </c>
      <c r="M23" s="1646">
        <f t="shared" si="8"/>
        <v>0</v>
      </c>
      <c r="N23" s="1646">
        <f t="shared" si="8"/>
        <v>0</v>
      </c>
      <c r="O23" s="1646">
        <f t="shared" si="8"/>
        <v>0</v>
      </c>
      <c r="P23" s="1646">
        <f t="shared" si="8"/>
        <v>0</v>
      </c>
      <c r="Q23" s="1646">
        <f t="shared" si="8"/>
        <v>0</v>
      </c>
    </row>
    <row r="24" spans="3:17" hidden="1">
      <c r="C24" s="1654"/>
      <c r="D24" s="1650" t="s">
        <v>374</v>
      </c>
      <c r="E24" s="1650"/>
      <c r="F24" s="1651"/>
      <c r="G24" s="1640">
        <f t="shared" si="3"/>
        <v>35</v>
      </c>
      <c r="H24" s="1656"/>
      <c r="I24" s="1646">
        <f t="shared" ref="I24:Q24" si="9">I19-I22-I23</f>
        <v>16.572000000000003</v>
      </c>
      <c r="J24" s="1646">
        <f t="shared" si="9"/>
        <v>16.572000000000003</v>
      </c>
      <c r="K24" s="1646">
        <f t="shared" si="9"/>
        <v>16.572000000000003</v>
      </c>
      <c r="L24" s="1646">
        <f t="shared" si="9"/>
        <v>22.385999999999999</v>
      </c>
      <c r="M24" s="1646">
        <f t="shared" si="9"/>
        <v>22.385999999999999</v>
      </c>
      <c r="N24" s="1646">
        <f t="shared" si="9"/>
        <v>22.385999999999999</v>
      </c>
      <c r="O24" s="1646">
        <f t="shared" si="9"/>
        <v>16.960999999999999</v>
      </c>
      <c r="P24" s="1646">
        <f t="shared" si="9"/>
        <v>16.960999999999999</v>
      </c>
      <c r="Q24" s="1646">
        <f t="shared" si="9"/>
        <v>16.960999999999999</v>
      </c>
    </row>
    <row r="25" spans="3:17">
      <c r="C25" s="1641" t="s">
        <v>1713</v>
      </c>
      <c r="D25" s="1634"/>
      <c r="E25" s="1634"/>
      <c r="F25" s="1635"/>
      <c r="G25" s="1640">
        <f t="shared" si="3"/>
        <v>40</v>
      </c>
      <c r="H25" s="1640"/>
      <c r="I25" s="1643">
        <v>16.571999999999999</v>
      </c>
      <c r="J25" s="1643">
        <v>16.572000000000003</v>
      </c>
      <c r="K25" s="1643">
        <v>16.572000000000003</v>
      </c>
      <c r="L25" s="1643">
        <v>22.385999999999999</v>
      </c>
      <c r="M25" s="1643">
        <v>22.385999999999999</v>
      </c>
      <c r="N25" s="1643">
        <v>22.385999999999999</v>
      </c>
      <c r="O25" s="1643">
        <v>16.960999999999999</v>
      </c>
      <c r="P25" s="1643">
        <v>16.960999999999999</v>
      </c>
      <c r="Q25" s="1643">
        <v>16.960999999999999</v>
      </c>
    </row>
    <row r="26" spans="3:17">
      <c r="C26" s="1644"/>
      <c r="D26" s="844" t="s">
        <v>1979</v>
      </c>
      <c r="E26" s="844"/>
      <c r="F26" s="1645">
        <v>1</v>
      </c>
      <c r="G26" s="1640">
        <f t="shared" si="3"/>
        <v>41</v>
      </c>
      <c r="H26" s="1640"/>
      <c r="I26" s="1646">
        <v>8.4039999999999999</v>
      </c>
      <c r="J26" s="1646">
        <v>8.4039999999999999</v>
      </c>
      <c r="K26" s="1646">
        <v>8.4039999999999999</v>
      </c>
      <c r="L26" s="1646">
        <v>8.5990000000000002</v>
      </c>
      <c r="M26" s="1646">
        <v>8.5990000000000002</v>
      </c>
      <c r="N26" s="1646">
        <v>8.5990000000000002</v>
      </c>
      <c r="O26" s="1646">
        <v>8.4849999999999994</v>
      </c>
      <c r="P26" s="1646">
        <v>8.4849999999999994</v>
      </c>
      <c r="Q26" s="1646">
        <v>8.4849999999999994</v>
      </c>
    </row>
    <row r="27" spans="3:17">
      <c r="C27" s="1644"/>
      <c r="D27" s="844" t="s">
        <v>1980</v>
      </c>
      <c r="E27" s="844"/>
      <c r="F27" s="1645">
        <v>1</v>
      </c>
      <c r="G27" s="1640">
        <f t="shared" si="3"/>
        <v>42</v>
      </c>
      <c r="H27" s="1647"/>
      <c r="I27" s="1646">
        <v>15.867000000000001</v>
      </c>
      <c r="J27" s="1646">
        <v>15.867000000000001</v>
      </c>
      <c r="K27" s="1646">
        <v>15.867000000000001</v>
      </c>
      <c r="L27" s="1646">
        <v>20.512</v>
      </c>
      <c r="M27" s="1646">
        <v>20.512</v>
      </c>
      <c r="N27" s="1646">
        <v>20.512</v>
      </c>
      <c r="O27" s="1646">
        <v>16.321999999999999</v>
      </c>
      <c r="P27" s="1646">
        <v>16.321999999999999</v>
      </c>
      <c r="Q27" s="1646">
        <v>16.321999999999999</v>
      </c>
    </row>
    <row r="28" spans="3:17" hidden="1">
      <c r="C28" s="1648"/>
      <c r="D28" s="1650" t="s">
        <v>2320</v>
      </c>
      <c r="E28" s="1650"/>
      <c r="F28" s="1651"/>
      <c r="G28" s="1640">
        <f t="shared" si="3"/>
        <v>43</v>
      </c>
      <c r="H28" s="1652">
        <f>CO2計算!$F$21</f>
        <v>0</v>
      </c>
      <c r="I28" s="1646">
        <f>(I25-I26)*$H28</f>
        <v>0</v>
      </c>
      <c r="J28" s="1646">
        <f t="shared" ref="J28:Q28" si="10">(J25-J26)*$H28</f>
        <v>0</v>
      </c>
      <c r="K28" s="1646">
        <f t="shared" si="10"/>
        <v>0</v>
      </c>
      <c r="L28" s="1646">
        <f t="shared" si="10"/>
        <v>0</v>
      </c>
      <c r="M28" s="1646">
        <f t="shared" si="10"/>
        <v>0</v>
      </c>
      <c r="N28" s="1646">
        <f t="shared" si="10"/>
        <v>0</v>
      </c>
      <c r="O28" s="1646">
        <f t="shared" si="10"/>
        <v>0</v>
      </c>
      <c r="P28" s="1646">
        <f t="shared" si="10"/>
        <v>0</v>
      </c>
      <c r="Q28" s="1646">
        <f t="shared" si="10"/>
        <v>0</v>
      </c>
    </row>
    <row r="29" spans="3:17" hidden="1">
      <c r="C29" s="1648"/>
      <c r="D29" s="1650" t="s">
        <v>2321</v>
      </c>
      <c r="E29" s="1650"/>
      <c r="F29" s="1651"/>
      <c r="G29" s="1640">
        <f t="shared" si="3"/>
        <v>44</v>
      </c>
      <c r="H29" s="1652">
        <f>CO2計算!$F$22</f>
        <v>0</v>
      </c>
      <c r="I29" s="1646">
        <f t="shared" ref="I29:Q29" si="11">(I25-I27)*$H29</f>
        <v>0</v>
      </c>
      <c r="J29" s="1646">
        <f t="shared" si="11"/>
        <v>0</v>
      </c>
      <c r="K29" s="1646">
        <f t="shared" si="11"/>
        <v>0</v>
      </c>
      <c r="L29" s="1646">
        <f t="shared" si="11"/>
        <v>0</v>
      </c>
      <c r="M29" s="1646">
        <f t="shared" si="11"/>
        <v>0</v>
      </c>
      <c r="N29" s="1646">
        <f t="shared" si="11"/>
        <v>0</v>
      </c>
      <c r="O29" s="1646">
        <f t="shared" si="11"/>
        <v>0</v>
      </c>
      <c r="P29" s="1646">
        <f t="shared" si="11"/>
        <v>0</v>
      </c>
      <c r="Q29" s="1646">
        <f t="shared" si="11"/>
        <v>0</v>
      </c>
    </row>
    <row r="30" spans="3:17" hidden="1">
      <c r="C30" s="1654"/>
      <c r="D30" s="1650" t="s">
        <v>374</v>
      </c>
      <c r="E30" s="1650"/>
      <c r="F30" s="1651"/>
      <c r="G30" s="1640">
        <f t="shared" si="3"/>
        <v>45</v>
      </c>
      <c r="H30" s="1656"/>
      <c r="I30" s="1646">
        <f t="shared" ref="I30:Q30" si="12">I25-I28-I29</f>
        <v>16.571999999999999</v>
      </c>
      <c r="J30" s="1646">
        <f t="shared" si="12"/>
        <v>16.572000000000003</v>
      </c>
      <c r="K30" s="1646">
        <f t="shared" si="12"/>
        <v>16.572000000000003</v>
      </c>
      <c r="L30" s="1646">
        <f t="shared" si="12"/>
        <v>22.385999999999999</v>
      </c>
      <c r="M30" s="1646">
        <f t="shared" si="12"/>
        <v>22.385999999999999</v>
      </c>
      <c r="N30" s="1646">
        <f t="shared" si="12"/>
        <v>22.385999999999999</v>
      </c>
      <c r="O30" s="1646">
        <f t="shared" si="12"/>
        <v>16.960999999999999</v>
      </c>
      <c r="P30" s="1646">
        <f t="shared" si="12"/>
        <v>16.960999999999999</v>
      </c>
      <c r="Q30" s="1646">
        <f t="shared" si="12"/>
        <v>16.960999999999999</v>
      </c>
    </row>
    <row r="31" spans="3:17">
      <c r="C31" s="1641" t="s">
        <v>1616</v>
      </c>
      <c r="D31" s="1634"/>
      <c r="E31" s="1634"/>
      <c r="F31" s="1635"/>
      <c r="G31" s="1640">
        <f t="shared" si="3"/>
        <v>50</v>
      </c>
      <c r="H31" s="1640"/>
      <c r="I31" s="1643">
        <v>11.535</v>
      </c>
      <c r="J31" s="1643">
        <v>11.535</v>
      </c>
      <c r="K31" s="1643">
        <v>11.535</v>
      </c>
      <c r="L31" s="1643">
        <v>12.471</v>
      </c>
      <c r="M31" s="1643">
        <v>12.471</v>
      </c>
      <c r="N31" s="1643">
        <v>12.471</v>
      </c>
      <c r="O31" s="1643">
        <v>13.079000000000001</v>
      </c>
      <c r="P31" s="1643">
        <v>13.079000000000001</v>
      </c>
      <c r="Q31" s="1643">
        <v>13.079000000000001</v>
      </c>
    </row>
    <row r="32" spans="3:17">
      <c r="C32" s="1644"/>
      <c r="D32" s="844" t="s">
        <v>1979</v>
      </c>
      <c r="E32" s="844"/>
      <c r="F32" s="1645">
        <v>1</v>
      </c>
      <c r="G32" s="1640">
        <f t="shared" si="3"/>
        <v>51</v>
      </c>
      <c r="H32" s="1640"/>
      <c r="I32" s="1646">
        <v>5.452</v>
      </c>
      <c r="J32" s="1646">
        <v>5.452</v>
      </c>
      <c r="K32" s="1646">
        <v>5.452</v>
      </c>
      <c r="L32" s="1646">
        <v>5.5779999999999994</v>
      </c>
      <c r="M32" s="1646">
        <v>5.5779999999999994</v>
      </c>
      <c r="N32" s="1646">
        <v>5.5779999999999994</v>
      </c>
      <c r="O32" s="1646">
        <v>5.5039999999999996</v>
      </c>
      <c r="P32" s="1646">
        <v>5.5039999999999996</v>
      </c>
      <c r="Q32" s="1646">
        <v>5.5039999999999996</v>
      </c>
    </row>
    <row r="33" spans="3:17" ht="14.25" customHeight="1">
      <c r="C33" s="1644"/>
      <c r="D33" s="844" t="s">
        <v>1980</v>
      </c>
      <c r="E33" s="844"/>
      <c r="F33" s="1645">
        <v>1</v>
      </c>
      <c r="G33" s="1640">
        <f t="shared" si="3"/>
        <v>52</v>
      </c>
      <c r="H33" s="1647"/>
      <c r="I33" s="1646">
        <v>11.178000000000001</v>
      </c>
      <c r="J33" s="1646">
        <v>11.178000000000001</v>
      </c>
      <c r="K33" s="1646">
        <v>11.178000000000001</v>
      </c>
      <c r="L33" s="1646">
        <v>11.533999999999999</v>
      </c>
      <c r="M33" s="1646">
        <v>11.533999999999999</v>
      </c>
      <c r="N33" s="1646">
        <v>11.533999999999999</v>
      </c>
      <c r="O33" s="1646">
        <v>12.182</v>
      </c>
      <c r="P33" s="1646">
        <v>12.182</v>
      </c>
      <c r="Q33" s="1646">
        <v>12.182</v>
      </c>
    </row>
    <row r="34" spans="3:17" hidden="1">
      <c r="C34" s="1648"/>
      <c r="D34" s="1650" t="s">
        <v>2320</v>
      </c>
      <c r="E34" s="1650"/>
      <c r="F34" s="1651"/>
      <c r="G34" s="1640">
        <f t="shared" si="3"/>
        <v>53</v>
      </c>
      <c r="H34" s="1652">
        <f>CO2計算!$F$21</f>
        <v>0</v>
      </c>
      <c r="I34" s="1646">
        <f>(I31-I32)*$H34</f>
        <v>0</v>
      </c>
      <c r="J34" s="1646">
        <f t="shared" ref="J34:Q34" si="13">(J31-J32)*$H34</f>
        <v>0</v>
      </c>
      <c r="K34" s="1646">
        <f t="shared" si="13"/>
        <v>0</v>
      </c>
      <c r="L34" s="1646">
        <f t="shared" si="13"/>
        <v>0</v>
      </c>
      <c r="M34" s="1646">
        <f t="shared" si="13"/>
        <v>0</v>
      </c>
      <c r="N34" s="1646">
        <f t="shared" si="13"/>
        <v>0</v>
      </c>
      <c r="O34" s="1646">
        <f t="shared" si="13"/>
        <v>0</v>
      </c>
      <c r="P34" s="1646">
        <f t="shared" si="13"/>
        <v>0</v>
      </c>
      <c r="Q34" s="1646">
        <f t="shared" si="13"/>
        <v>0</v>
      </c>
    </row>
    <row r="35" spans="3:17" hidden="1">
      <c r="C35" s="1648"/>
      <c r="D35" s="1650" t="s">
        <v>2321</v>
      </c>
      <c r="E35" s="1650"/>
      <c r="F35" s="1651"/>
      <c r="G35" s="1640">
        <f t="shared" si="3"/>
        <v>54</v>
      </c>
      <c r="H35" s="1652">
        <f>CO2計算!$F$22</f>
        <v>0</v>
      </c>
      <c r="I35" s="1646">
        <f t="shared" ref="I35:Q35" si="14">(I31-I33)*$H35</f>
        <v>0</v>
      </c>
      <c r="J35" s="1646">
        <f t="shared" si="14"/>
        <v>0</v>
      </c>
      <c r="K35" s="1646">
        <f t="shared" si="14"/>
        <v>0</v>
      </c>
      <c r="L35" s="1646">
        <f t="shared" si="14"/>
        <v>0</v>
      </c>
      <c r="M35" s="1646">
        <f t="shared" si="14"/>
        <v>0</v>
      </c>
      <c r="N35" s="1646">
        <f t="shared" si="14"/>
        <v>0</v>
      </c>
      <c r="O35" s="1646">
        <f t="shared" si="14"/>
        <v>0</v>
      </c>
      <c r="P35" s="1646">
        <f t="shared" si="14"/>
        <v>0</v>
      </c>
      <c r="Q35" s="1646">
        <f t="shared" si="14"/>
        <v>0</v>
      </c>
    </row>
    <row r="36" spans="3:17" hidden="1">
      <c r="C36" s="1654"/>
      <c r="D36" s="1650" t="s">
        <v>374</v>
      </c>
      <c r="E36" s="1650"/>
      <c r="F36" s="1651"/>
      <c r="G36" s="1640">
        <f t="shared" si="3"/>
        <v>55</v>
      </c>
      <c r="H36" s="1656"/>
      <c r="I36" s="1646">
        <f t="shared" ref="I36:Q36" si="15">I31-I34-I35</f>
        <v>11.535</v>
      </c>
      <c r="J36" s="1646">
        <f t="shared" si="15"/>
        <v>11.535</v>
      </c>
      <c r="K36" s="1646">
        <f t="shared" si="15"/>
        <v>11.535</v>
      </c>
      <c r="L36" s="1646">
        <f t="shared" si="15"/>
        <v>12.471</v>
      </c>
      <c r="M36" s="1646">
        <f t="shared" si="15"/>
        <v>12.471</v>
      </c>
      <c r="N36" s="1646">
        <f t="shared" si="15"/>
        <v>12.471</v>
      </c>
      <c r="O36" s="1646">
        <f t="shared" si="15"/>
        <v>13.079000000000001</v>
      </c>
      <c r="P36" s="1646">
        <f t="shared" si="15"/>
        <v>13.079000000000001</v>
      </c>
      <c r="Q36" s="1646">
        <f t="shared" si="15"/>
        <v>13.079000000000001</v>
      </c>
    </row>
    <row r="37" spans="3:17">
      <c r="C37" s="1641" t="s">
        <v>372</v>
      </c>
      <c r="D37" s="1634"/>
      <c r="E37" s="1634"/>
      <c r="F37" s="1635"/>
      <c r="G37" s="1640">
        <f t="shared" si="3"/>
        <v>60</v>
      </c>
      <c r="H37" s="1640"/>
      <c r="I37" s="1643">
        <v>19.561999999999998</v>
      </c>
      <c r="J37" s="1643">
        <v>19.561999999999998</v>
      </c>
      <c r="K37" s="1643">
        <v>19.561999999999998</v>
      </c>
      <c r="L37" s="1643">
        <v>22.5</v>
      </c>
      <c r="M37" s="1643">
        <v>22.5</v>
      </c>
      <c r="N37" s="1643">
        <v>22.5</v>
      </c>
      <c r="O37" s="1643">
        <v>23.650000000000002</v>
      </c>
      <c r="P37" s="1643">
        <v>23.650000000000002</v>
      </c>
      <c r="Q37" s="1643">
        <v>23.650000000000002</v>
      </c>
    </row>
    <row r="38" spans="3:17">
      <c r="C38" s="1644"/>
      <c r="D38" s="844" t="s">
        <v>1979</v>
      </c>
      <c r="E38" s="844"/>
      <c r="F38" s="1645">
        <v>1</v>
      </c>
      <c r="G38" s="1640">
        <f t="shared" si="3"/>
        <v>61</v>
      </c>
      <c r="H38" s="1640"/>
      <c r="I38" s="1646">
        <v>9.9849999999999994</v>
      </c>
      <c r="J38" s="1646">
        <v>9.9849999999999994</v>
      </c>
      <c r="K38" s="1646">
        <v>9.9849999999999994</v>
      </c>
      <c r="L38" s="1646">
        <v>10.302</v>
      </c>
      <c r="M38" s="1646">
        <v>10.302</v>
      </c>
      <c r="N38" s="1646">
        <v>10.302</v>
      </c>
      <c r="O38" s="1646">
        <v>9.9700000000000006</v>
      </c>
      <c r="P38" s="1646">
        <v>9.9700000000000006</v>
      </c>
      <c r="Q38" s="1646">
        <v>9.9700000000000006</v>
      </c>
    </row>
    <row r="39" spans="3:17">
      <c r="C39" s="1644"/>
      <c r="D39" s="844" t="s">
        <v>1980</v>
      </c>
      <c r="E39" s="844"/>
      <c r="F39" s="1645">
        <v>1</v>
      </c>
      <c r="G39" s="1640">
        <f t="shared" si="3"/>
        <v>62</v>
      </c>
      <c r="H39" s="1647"/>
      <c r="I39" s="1646">
        <v>18.811</v>
      </c>
      <c r="J39" s="1646">
        <v>18.811</v>
      </c>
      <c r="K39" s="1646">
        <v>18.811</v>
      </c>
      <c r="L39" s="1646">
        <v>20.811999999999998</v>
      </c>
      <c r="M39" s="1646">
        <v>20.811999999999998</v>
      </c>
      <c r="N39" s="1646">
        <v>20.811999999999998</v>
      </c>
      <c r="O39" s="1646">
        <v>22.231999999999999</v>
      </c>
      <c r="P39" s="1646">
        <v>22.231999999999999</v>
      </c>
      <c r="Q39" s="1646">
        <v>22.231999999999999</v>
      </c>
    </row>
    <row r="40" spans="3:17" hidden="1">
      <c r="C40" s="1648"/>
      <c r="D40" s="1650" t="s">
        <v>2320</v>
      </c>
      <c r="E40" s="1650"/>
      <c r="F40" s="1651"/>
      <c r="G40" s="1640">
        <f t="shared" si="3"/>
        <v>63</v>
      </c>
      <c r="H40" s="1652">
        <f>CO2計算!$F$21</f>
        <v>0</v>
      </c>
      <c r="I40" s="1646">
        <f>(I37-I38)*$H40</f>
        <v>0</v>
      </c>
      <c r="J40" s="1646">
        <f t="shared" ref="J40:Q40" si="16">(J37-J38)*$H40</f>
        <v>0</v>
      </c>
      <c r="K40" s="1646">
        <f t="shared" si="16"/>
        <v>0</v>
      </c>
      <c r="L40" s="1646">
        <f t="shared" si="16"/>
        <v>0</v>
      </c>
      <c r="M40" s="1646">
        <f t="shared" si="16"/>
        <v>0</v>
      </c>
      <c r="N40" s="1646">
        <f t="shared" si="16"/>
        <v>0</v>
      </c>
      <c r="O40" s="1646">
        <f t="shared" si="16"/>
        <v>0</v>
      </c>
      <c r="P40" s="1646">
        <f t="shared" si="16"/>
        <v>0</v>
      </c>
      <c r="Q40" s="1646">
        <f t="shared" si="16"/>
        <v>0</v>
      </c>
    </row>
    <row r="41" spans="3:17" hidden="1">
      <c r="C41" s="1648"/>
      <c r="D41" s="1650" t="s">
        <v>2321</v>
      </c>
      <c r="E41" s="1650"/>
      <c r="F41" s="1651"/>
      <c r="G41" s="1640">
        <f t="shared" si="3"/>
        <v>64</v>
      </c>
      <c r="H41" s="1652">
        <f>CO2計算!$F$22</f>
        <v>0</v>
      </c>
      <c r="I41" s="1646">
        <f t="shared" ref="I41:Q41" si="17">(I37-I39)*$H41</f>
        <v>0</v>
      </c>
      <c r="J41" s="1646">
        <f t="shared" si="17"/>
        <v>0</v>
      </c>
      <c r="K41" s="1646">
        <f t="shared" si="17"/>
        <v>0</v>
      </c>
      <c r="L41" s="1646">
        <f t="shared" si="17"/>
        <v>0</v>
      </c>
      <c r="M41" s="1646">
        <f t="shared" si="17"/>
        <v>0</v>
      </c>
      <c r="N41" s="1646">
        <f t="shared" si="17"/>
        <v>0</v>
      </c>
      <c r="O41" s="1646">
        <f t="shared" si="17"/>
        <v>0</v>
      </c>
      <c r="P41" s="1646">
        <f t="shared" si="17"/>
        <v>0</v>
      </c>
      <c r="Q41" s="1646">
        <f t="shared" si="17"/>
        <v>0</v>
      </c>
    </row>
    <row r="42" spans="3:17" hidden="1">
      <c r="C42" s="1654"/>
      <c r="D42" s="1650" t="s">
        <v>374</v>
      </c>
      <c r="E42" s="1650"/>
      <c r="F42" s="1651"/>
      <c r="G42" s="1640">
        <f t="shared" si="3"/>
        <v>65</v>
      </c>
      <c r="H42" s="1656"/>
      <c r="I42" s="1646">
        <f t="shared" ref="I42:Q42" si="18">I37-I40-I41</f>
        <v>19.561999999999998</v>
      </c>
      <c r="J42" s="1646">
        <f t="shared" si="18"/>
        <v>19.561999999999998</v>
      </c>
      <c r="K42" s="1646">
        <f t="shared" si="18"/>
        <v>19.561999999999998</v>
      </c>
      <c r="L42" s="1646">
        <f t="shared" si="18"/>
        <v>22.5</v>
      </c>
      <c r="M42" s="1646">
        <f t="shared" si="18"/>
        <v>22.5</v>
      </c>
      <c r="N42" s="1646">
        <f t="shared" si="18"/>
        <v>22.5</v>
      </c>
      <c r="O42" s="1646">
        <f t="shared" si="18"/>
        <v>23.650000000000002</v>
      </c>
      <c r="P42" s="1646">
        <f t="shared" si="18"/>
        <v>23.650000000000002</v>
      </c>
      <c r="Q42" s="1646">
        <f t="shared" si="18"/>
        <v>23.650000000000002</v>
      </c>
    </row>
    <row r="43" spans="3:17">
      <c r="C43" s="1641" t="s">
        <v>1618</v>
      </c>
      <c r="D43" s="1634"/>
      <c r="E43" s="1634"/>
      <c r="F43" s="1635"/>
      <c r="G43" s="1640">
        <f t="shared" si="3"/>
        <v>70</v>
      </c>
      <c r="H43" s="1640"/>
      <c r="I43" s="1643">
        <v>10.405000000000001</v>
      </c>
      <c r="J43" s="1643">
        <v>10.405000000000001</v>
      </c>
      <c r="K43" s="1643">
        <v>10.405000000000001</v>
      </c>
      <c r="L43" s="1643">
        <v>12.261000000000001</v>
      </c>
      <c r="M43" s="1643">
        <v>12.261000000000001</v>
      </c>
      <c r="N43" s="1643">
        <v>12.261000000000001</v>
      </c>
      <c r="O43" s="1643">
        <v>13.704000000000001</v>
      </c>
      <c r="P43" s="1643">
        <v>13.704000000000001</v>
      </c>
      <c r="Q43" s="1643">
        <v>13.704000000000001</v>
      </c>
    </row>
    <row r="44" spans="3:17">
      <c r="C44" s="1644"/>
      <c r="D44" s="844" t="s">
        <v>1979</v>
      </c>
      <c r="E44" s="844"/>
      <c r="F44" s="1645">
        <v>1</v>
      </c>
      <c r="G44" s="1640">
        <f t="shared" si="3"/>
        <v>71</v>
      </c>
      <c r="H44" s="1640"/>
      <c r="I44" s="1646">
        <v>6.2990000000000004</v>
      </c>
      <c r="J44" s="1646">
        <v>6.2990000000000004</v>
      </c>
      <c r="K44" s="1646">
        <v>6.2990000000000004</v>
      </c>
      <c r="L44" s="1646">
        <v>6.4450000000000003</v>
      </c>
      <c r="M44" s="1646">
        <v>6.4450000000000003</v>
      </c>
      <c r="N44" s="1646">
        <v>6.4450000000000003</v>
      </c>
      <c r="O44" s="1646">
        <v>6.36</v>
      </c>
      <c r="P44" s="1646">
        <v>6.36</v>
      </c>
      <c r="Q44" s="1646">
        <v>6.36</v>
      </c>
    </row>
    <row r="45" spans="3:17">
      <c r="C45" s="1644"/>
      <c r="D45" s="844" t="s">
        <v>1980</v>
      </c>
      <c r="E45" s="844"/>
      <c r="F45" s="1645">
        <v>1</v>
      </c>
      <c r="G45" s="1640">
        <f t="shared" si="3"/>
        <v>72</v>
      </c>
      <c r="H45" s="1647"/>
      <c r="I45" s="1646">
        <v>10.077999999999999</v>
      </c>
      <c r="J45" s="1646">
        <v>10.077999999999999</v>
      </c>
      <c r="K45" s="1646">
        <v>10.077999999999999</v>
      </c>
      <c r="L45" s="1646">
        <v>11.452000000000002</v>
      </c>
      <c r="M45" s="1646">
        <v>11.452000000000002</v>
      </c>
      <c r="N45" s="1646">
        <v>11.452000000000002</v>
      </c>
      <c r="O45" s="1646">
        <v>12.857999999999999</v>
      </c>
      <c r="P45" s="1646">
        <v>12.857999999999999</v>
      </c>
      <c r="Q45" s="1646">
        <v>12.857999999999999</v>
      </c>
    </row>
    <row r="46" spans="3:17" hidden="1">
      <c r="C46" s="1648"/>
      <c r="D46" s="1650" t="s">
        <v>2320</v>
      </c>
      <c r="E46" s="1650"/>
      <c r="F46" s="1651"/>
      <c r="G46" s="1640">
        <f t="shared" si="3"/>
        <v>73</v>
      </c>
      <c r="H46" s="1652">
        <f>CO2計算!$F$21</f>
        <v>0</v>
      </c>
      <c r="I46" s="1646">
        <f>(I43-I44)*$H46</f>
        <v>0</v>
      </c>
      <c r="J46" s="1646">
        <f t="shared" ref="J46:Q46" si="19">(J43-J44)*$H46</f>
        <v>0</v>
      </c>
      <c r="K46" s="1646">
        <f t="shared" si="19"/>
        <v>0</v>
      </c>
      <c r="L46" s="1646">
        <f t="shared" si="19"/>
        <v>0</v>
      </c>
      <c r="M46" s="1646">
        <f t="shared" si="19"/>
        <v>0</v>
      </c>
      <c r="N46" s="1646">
        <f t="shared" si="19"/>
        <v>0</v>
      </c>
      <c r="O46" s="1646">
        <f t="shared" si="19"/>
        <v>0</v>
      </c>
      <c r="P46" s="1646">
        <f t="shared" si="19"/>
        <v>0</v>
      </c>
      <c r="Q46" s="1646">
        <f t="shared" si="19"/>
        <v>0</v>
      </c>
    </row>
    <row r="47" spans="3:17" hidden="1">
      <c r="C47" s="1648"/>
      <c r="D47" s="1650" t="s">
        <v>2321</v>
      </c>
      <c r="E47" s="1650"/>
      <c r="F47" s="1651"/>
      <c r="G47" s="1640">
        <f t="shared" si="3"/>
        <v>74</v>
      </c>
      <c r="H47" s="1652">
        <f>CO2計算!$F$22</f>
        <v>0</v>
      </c>
      <c r="I47" s="1646">
        <f t="shared" ref="I47:Q47" si="20">(I43-I45)*$H47</f>
        <v>0</v>
      </c>
      <c r="J47" s="1646">
        <f t="shared" si="20"/>
        <v>0</v>
      </c>
      <c r="K47" s="1646">
        <f t="shared" si="20"/>
        <v>0</v>
      </c>
      <c r="L47" s="1646">
        <f t="shared" si="20"/>
        <v>0</v>
      </c>
      <c r="M47" s="1646">
        <f t="shared" si="20"/>
        <v>0</v>
      </c>
      <c r="N47" s="1646">
        <f t="shared" si="20"/>
        <v>0</v>
      </c>
      <c r="O47" s="1646">
        <f t="shared" si="20"/>
        <v>0</v>
      </c>
      <c r="P47" s="1646">
        <f t="shared" si="20"/>
        <v>0</v>
      </c>
      <c r="Q47" s="1646">
        <f t="shared" si="20"/>
        <v>0</v>
      </c>
    </row>
    <row r="48" spans="3:17" hidden="1">
      <c r="C48" s="1654"/>
      <c r="D48" s="1650" t="s">
        <v>374</v>
      </c>
      <c r="E48" s="1650"/>
      <c r="F48" s="1651"/>
      <c r="G48" s="1640">
        <f t="shared" si="3"/>
        <v>75</v>
      </c>
      <c r="H48" s="1656"/>
      <c r="I48" s="1646">
        <f t="shared" ref="I48:Q48" si="21">I43-I46-I47</f>
        <v>10.405000000000001</v>
      </c>
      <c r="J48" s="1646">
        <f t="shared" si="21"/>
        <v>10.405000000000001</v>
      </c>
      <c r="K48" s="1646">
        <f t="shared" si="21"/>
        <v>10.405000000000001</v>
      </c>
      <c r="L48" s="1646">
        <f t="shared" si="21"/>
        <v>12.261000000000001</v>
      </c>
      <c r="M48" s="1646">
        <f t="shared" si="21"/>
        <v>12.261000000000001</v>
      </c>
      <c r="N48" s="1646">
        <f t="shared" si="21"/>
        <v>12.261000000000001</v>
      </c>
      <c r="O48" s="1646">
        <f t="shared" si="21"/>
        <v>13.704000000000001</v>
      </c>
      <c r="P48" s="1646">
        <f t="shared" si="21"/>
        <v>13.704000000000001</v>
      </c>
      <c r="Q48" s="1646">
        <f t="shared" si="21"/>
        <v>13.704000000000001</v>
      </c>
    </row>
    <row r="49" spans="3:17">
      <c r="C49" s="1641" t="s">
        <v>405</v>
      </c>
      <c r="D49" s="1634"/>
      <c r="E49" s="1634"/>
      <c r="F49" s="1635"/>
      <c r="G49" s="1640">
        <f t="shared" si="3"/>
        <v>80</v>
      </c>
      <c r="H49" s="1640"/>
      <c r="I49" s="1643">
        <v>11.119000000000002</v>
      </c>
      <c r="J49" s="1643">
        <v>11.119000000000002</v>
      </c>
      <c r="K49" s="1643">
        <v>11.119000000000002</v>
      </c>
      <c r="L49" s="1643">
        <v>12.770000000000001</v>
      </c>
      <c r="M49" s="1643">
        <v>12.770000000000001</v>
      </c>
      <c r="N49" s="1643">
        <v>12.770000000000001</v>
      </c>
      <c r="O49" s="1643">
        <v>13.53</v>
      </c>
      <c r="P49" s="1643">
        <v>13.53</v>
      </c>
      <c r="Q49" s="1643">
        <v>13.53</v>
      </c>
    </row>
    <row r="50" spans="3:17">
      <c r="C50" s="1644"/>
      <c r="D50" s="844" t="s">
        <v>1979</v>
      </c>
      <c r="E50" s="844"/>
      <c r="F50" s="1645">
        <v>1</v>
      </c>
      <c r="G50" s="1640">
        <f t="shared" si="3"/>
        <v>81</v>
      </c>
      <c r="H50" s="1640"/>
      <c r="I50" s="1646">
        <v>5.5570000000000004</v>
      </c>
      <c r="J50" s="1646">
        <v>5.5570000000000004</v>
      </c>
      <c r="K50" s="1646">
        <v>5.5570000000000004</v>
      </c>
      <c r="L50" s="1646">
        <v>5.6859999999999999</v>
      </c>
      <c r="M50" s="1646">
        <v>5.6859999999999999</v>
      </c>
      <c r="N50" s="1646">
        <v>5.6859999999999999</v>
      </c>
      <c r="O50" s="1646">
        <v>5.61</v>
      </c>
      <c r="P50" s="1646">
        <v>5.61</v>
      </c>
      <c r="Q50" s="1646">
        <v>5.61</v>
      </c>
    </row>
    <row r="51" spans="3:17">
      <c r="C51" s="1644"/>
      <c r="D51" s="844" t="s">
        <v>1980</v>
      </c>
      <c r="E51" s="844"/>
      <c r="F51" s="1645">
        <v>1</v>
      </c>
      <c r="G51" s="1640">
        <f t="shared" si="3"/>
        <v>82</v>
      </c>
      <c r="H51" s="1647"/>
      <c r="I51" s="1646">
        <v>10.67</v>
      </c>
      <c r="J51" s="1646">
        <v>10.67</v>
      </c>
      <c r="K51" s="1646">
        <v>10.67</v>
      </c>
      <c r="L51" s="1646">
        <v>11.715999999999999</v>
      </c>
      <c r="M51" s="1646">
        <v>11.715999999999999</v>
      </c>
      <c r="N51" s="1646">
        <v>11.715999999999999</v>
      </c>
      <c r="O51" s="1646">
        <v>12.681000000000001</v>
      </c>
      <c r="P51" s="1646">
        <v>12.681000000000001</v>
      </c>
      <c r="Q51" s="1646">
        <v>12.681000000000001</v>
      </c>
    </row>
    <row r="52" spans="3:17" hidden="1">
      <c r="C52" s="1648"/>
      <c r="D52" s="1650" t="s">
        <v>2320</v>
      </c>
      <c r="E52" s="1650"/>
      <c r="F52" s="1651"/>
      <c r="G52" s="1640">
        <f t="shared" si="3"/>
        <v>83</v>
      </c>
      <c r="H52" s="1652">
        <f>CO2計算!$F$21</f>
        <v>0</v>
      </c>
      <c r="I52" s="1646">
        <f>(I49-I50)*$H52</f>
        <v>0</v>
      </c>
      <c r="J52" s="1646">
        <f t="shared" ref="J52:Q52" si="22">(J49-J50)*$H52</f>
        <v>0</v>
      </c>
      <c r="K52" s="1646">
        <f t="shared" si="22"/>
        <v>0</v>
      </c>
      <c r="L52" s="1646">
        <f t="shared" si="22"/>
        <v>0</v>
      </c>
      <c r="M52" s="1646">
        <f t="shared" si="22"/>
        <v>0</v>
      </c>
      <c r="N52" s="1646">
        <f t="shared" si="22"/>
        <v>0</v>
      </c>
      <c r="O52" s="1646">
        <f t="shared" si="22"/>
        <v>0</v>
      </c>
      <c r="P52" s="1646">
        <f t="shared" si="22"/>
        <v>0</v>
      </c>
      <c r="Q52" s="1646">
        <f t="shared" si="22"/>
        <v>0</v>
      </c>
    </row>
    <row r="53" spans="3:17" hidden="1">
      <c r="C53" s="1648"/>
      <c r="D53" s="1650" t="s">
        <v>2321</v>
      </c>
      <c r="E53" s="1650"/>
      <c r="F53" s="1651"/>
      <c r="G53" s="1640">
        <f t="shared" si="3"/>
        <v>84</v>
      </c>
      <c r="H53" s="1652">
        <f>CO2計算!$F$22</f>
        <v>0</v>
      </c>
      <c r="I53" s="1646">
        <f t="shared" ref="I53:Q53" si="23">(I49-I51)*$H53</f>
        <v>0</v>
      </c>
      <c r="J53" s="1646">
        <f t="shared" si="23"/>
        <v>0</v>
      </c>
      <c r="K53" s="1646">
        <f t="shared" si="23"/>
        <v>0</v>
      </c>
      <c r="L53" s="1646">
        <f t="shared" si="23"/>
        <v>0</v>
      </c>
      <c r="M53" s="1646">
        <f t="shared" si="23"/>
        <v>0</v>
      </c>
      <c r="N53" s="1646">
        <f t="shared" si="23"/>
        <v>0</v>
      </c>
      <c r="O53" s="1646">
        <f t="shared" si="23"/>
        <v>0</v>
      </c>
      <c r="P53" s="1646">
        <f t="shared" si="23"/>
        <v>0</v>
      </c>
      <c r="Q53" s="1646">
        <f t="shared" si="23"/>
        <v>0</v>
      </c>
    </row>
    <row r="54" spans="3:17" hidden="1">
      <c r="C54" s="1654"/>
      <c r="D54" s="1650" t="s">
        <v>374</v>
      </c>
      <c r="E54" s="1650"/>
      <c r="F54" s="1651"/>
      <c r="G54" s="1640">
        <f t="shared" si="3"/>
        <v>85</v>
      </c>
      <c r="H54" s="1656"/>
      <c r="I54" s="1646">
        <f t="shared" ref="I54:Q54" si="24">I49-I52-I53</f>
        <v>11.119000000000002</v>
      </c>
      <c r="J54" s="1646">
        <f t="shared" si="24"/>
        <v>11.119000000000002</v>
      </c>
      <c r="K54" s="1646">
        <f t="shared" si="24"/>
        <v>11.119000000000002</v>
      </c>
      <c r="L54" s="1646">
        <f t="shared" si="24"/>
        <v>12.770000000000001</v>
      </c>
      <c r="M54" s="1646">
        <f t="shared" si="24"/>
        <v>12.770000000000001</v>
      </c>
      <c r="N54" s="1646">
        <f t="shared" si="24"/>
        <v>12.770000000000001</v>
      </c>
      <c r="O54" s="1646">
        <f t="shared" si="24"/>
        <v>13.53</v>
      </c>
      <c r="P54" s="1646">
        <f t="shared" si="24"/>
        <v>13.53</v>
      </c>
      <c r="Q54" s="1646">
        <f t="shared" si="24"/>
        <v>13.53</v>
      </c>
    </row>
    <row r="55" spans="3:17">
      <c r="C55" s="1641" t="s">
        <v>1714</v>
      </c>
      <c r="D55" s="1634"/>
      <c r="E55" s="1634"/>
      <c r="F55" s="1635"/>
      <c r="G55" s="1640">
        <f t="shared" si="3"/>
        <v>90</v>
      </c>
      <c r="H55" s="1640"/>
      <c r="I55" s="1643">
        <v>15.641</v>
      </c>
      <c r="J55" s="1643">
        <v>7.8210000000000006</v>
      </c>
      <c r="K55" s="1643">
        <v>5.2140000000000004</v>
      </c>
      <c r="L55" s="1643">
        <v>19.619999999999997</v>
      </c>
      <c r="M55" s="1643">
        <v>9.8079999999999998</v>
      </c>
      <c r="N55" s="1643">
        <v>6.5390000000000006</v>
      </c>
      <c r="O55" s="1643">
        <v>22.378</v>
      </c>
      <c r="P55" s="1643">
        <v>11.187999999999999</v>
      </c>
      <c r="Q55" s="1643">
        <v>7.4590000000000005</v>
      </c>
    </row>
    <row r="56" spans="3:17">
      <c r="C56" s="1644"/>
      <c r="D56" s="844" t="s">
        <v>1979</v>
      </c>
      <c r="E56" s="844"/>
      <c r="F56" s="1645">
        <v>1</v>
      </c>
      <c r="G56" s="1640">
        <f t="shared" si="3"/>
        <v>91</v>
      </c>
      <c r="H56" s="1640"/>
      <c r="I56" s="1646">
        <v>9.0940000000000012</v>
      </c>
      <c r="J56" s="1646">
        <v>4.5460000000000003</v>
      </c>
      <c r="K56" s="1646">
        <v>3.0309999999999997</v>
      </c>
      <c r="L56" s="1646">
        <v>8.8330000000000002</v>
      </c>
      <c r="M56" s="1646">
        <v>4.4160000000000004</v>
      </c>
      <c r="N56" s="1646">
        <v>2.9430000000000001</v>
      </c>
      <c r="O56" s="1646">
        <v>8.7469999999999999</v>
      </c>
      <c r="P56" s="1646">
        <v>4.3730000000000002</v>
      </c>
      <c r="Q56" s="1646">
        <v>2.915</v>
      </c>
    </row>
    <row r="57" spans="3:17">
      <c r="C57" s="1644"/>
      <c r="D57" s="844" t="s">
        <v>1980</v>
      </c>
      <c r="E57" s="844"/>
      <c r="F57" s="1645">
        <v>1</v>
      </c>
      <c r="G57" s="1640">
        <f t="shared" si="3"/>
        <v>92</v>
      </c>
      <c r="H57" s="1647"/>
      <c r="I57" s="1646">
        <v>14.974</v>
      </c>
      <c r="J57" s="1646">
        <v>7.4880000000000004</v>
      </c>
      <c r="K57" s="1646">
        <v>4.9910000000000005</v>
      </c>
      <c r="L57" s="1646">
        <v>18.148999999999997</v>
      </c>
      <c r="M57" s="1646">
        <v>9.0730000000000004</v>
      </c>
      <c r="N57" s="1646">
        <v>6.0490000000000004</v>
      </c>
      <c r="O57" s="1646">
        <v>20.89</v>
      </c>
      <c r="P57" s="1646">
        <v>10.443999999999999</v>
      </c>
      <c r="Q57" s="1646">
        <v>6.9620000000000006</v>
      </c>
    </row>
    <row r="58" spans="3:17" ht="13.5" hidden="1" customHeight="1">
      <c r="C58" s="1648"/>
      <c r="D58" s="1649"/>
      <c r="E58" s="1650" t="s">
        <v>2320</v>
      </c>
      <c r="F58" s="1651"/>
      <c r="G58" s="1640">
        <f t="shared" si="3"/>
        <v>93</v>
      </c>
      <c r="H58" s="1652">
        <f>CO2計算!$F$21</f>
        <v>0</v>
      </c>
      <c r="I58" s="1646">
        <f>(I55-I56)*$H58</f>
        <v>0</v>
      </c>
      <c r="J58" s="1646">
        <f t="shared" ref="J58:Q58" si="25">(J55-J56)*$H58</f>
        <v>0</v>
      </c>
      <c r="K58" s="1646">
        <f t="shared" si="25"/>
        <v>0</v>
      </c>
      <c r="L58" s="1646">
        <f t="shared" si="25"/>
        <v>0</v>
      </c>
      <c r="M58" s="1646">
        <f t="shared" si="25"/>
        <v>0</v>
      </c>
      <c r="N58" s="1646">
        <f t="shared" si="25"/>
        <v>0</v>
      </c>
      <c r="O58" s="1646">
        <f t="shared" si="25"/>
        <v>0</v>
      </c>
      <c r="P58" s="1646">
        <f t="shared" si="25"/>
        <v>0</v>
      </c>
      <c r="Q58" s="1646">
        <f t="shared" si="25"/>
        <v>0</v>
      </c>
    </row>
    <row r="59" spans="3:17" ht="13.5" hidden="1" customHeight="1">
      <c r="C59" s="1648"/>
      <c r="D59" s="1638"/>
      <c r="E59" s="1650" t="s">
        <v>2321</v>
      </c>
      <c r="F59" s="1651"/>
      <c r="G59" s="1640">
        <f t="shared" si="3"/>
        <v>94</v>
      </c>
      <c r="H59" s="1652">
        <f>CO2計算!$F$22</f>
        <v>0</v>
      </c>
      <c r="I59" s="1646">
        <f t="shared" ref="I59:Q59" si="26">(I55-I57)*$H59</f>
        <v>0</v>
      </c>
      <c r="J59" s="1646">
        <f t="shared" si="26"/>
        <v>0</v>
      </c>
      <c r="K59" s="1646">
        <f t="shared" si="26"/>
        <v>0</v>
      </c>
      <c r="L59" s="1646">
        <f t="shared" si="26"/>
        <v>0</v>
      </c>
      <c r="M59" s="1646">
        <f t="shared" si="26"/>
        <v>0</v>
      </c>
      <c r="N59" s="1646">
        <f t="shared" si="26"/>
        <v>0</v>
      </c>
      <c r="O59" s="1646">
        <f t="shared" si="26"/>
        <v>0</v>
      </c>
      <c r="P59" s="1646">
        <f t="shared" si="26"/>
        <v>0</v>
      </c>
      <c r="Q59" s="1646">
        <f t="shared" si="26"/>
        <v>0</v>
      </c>
    </row>
    <row r="60" spans="3:17" ht="13.5" hidden="1" customHeight="1">
      <c r="C60" s="1654"/>
      <c r="D60" s="1655"/>
      <c r="E60" s="1650" t="s">
        <v>374</v>
      </c>
      <c r="F60" s="1651"/>
      <c r="G60" s="1640">
        <f t="shared" si="3"/>
        <v>95</v>
      </c>
      <c r="H60" s="1656"/>
      <c r="I60" s="1646">
        <f t="shared" ref="I60:Q60" si="27">I55-I58-I59</f>
        <v>15.641</v>
      </c>
      <c r="J60" s="1646">
        <f t="shared" si="27"/>
        <v>7.8210000000000006</v>
      </c>
      <c r="K60" s="1646">
        <f t="shared" si="27"/>
        <v>5.2140000000000004</v>
      </c>
      <c r="L60" s="1646">
        <f t="shared" si="27"/>
        <v>19.619999999999997</v>
      </c>
      <c r="M60" s="1646">
        <f t="shared" si="27"/>
        <v>9.8079999999999998</v>
      </c>
      <c r="N60" s="1646">
        <f t="shared" si="27"/>
        <v>6.5390000000000006</v>
      </c>
      <c r="O60" s="1646">
        <f t="shared" si="27"/>
        <v>22.378</v>
      </c>
      <c r="P60" s="1646">
        <f t="shared" si="27"/>
        <v>11.187999999999999</v>
      </c>
      <c r="Q60" s="1646">
        <f t="shared" si="27"/>
        <v>7.4590000000000005</v>
      </c>
    </row>
    <row r="61" spans="3:17">
      <c r="C61" s="1657"/>
      <c r="D61" s="1657"/>
      <c r="E61" s="1623"/>
      <c r="F61" s="1623"/>
      <c r="G61" s="1623"/>
      <c r="H61" s="1623"/>
      <c r="I61" s="1623"/>
      <c r="J61" s="1623"/>
      <c r="K61" s="1623"/>
      <c r="L61" s="1623"/>
      <c r="M61" s="1623"/>
      <c r="N61" s="1623"/>
      <c r="O61" s="1623"/>
      <c r="P61" s="1623"/>
      <c r="Q61" s="1623"/>
    </row>
    <row r="62" spans="3:17">
      <c r="C62" s="1621" t="s">
        <v>2322</v>
      </c>
      <c r="D62" s="1622"/>
      <c r="E62" s="1623"/>
      <c r="F62" s="1623"/>
      <c r="G62" s="1623"/>
      <c r="H62" s="1623"/>
      <c r="I62" s="1624" t="s">
        <v>261</v>
      </c>
      <c r="J62" s="1625"/>
      <c r="K62" s="1625"/>
      <c r="L62" s="1626"/>
      <c r="M62" s="1626"/>
      <c r="N62" s="1626"/>
      <c r="O62" s="1626"/>
      <c r="P62" s="1626"/>
      <c r="Q62" s="1627"/>
    </row>
    <row r="63" spans="3:17">
      <c r="C63" s="1628"/>
      <c r="D63" s="1629" t="s">
        <v>2319</v>
      </c>
      <c r="E63" s="1628"/>
      <c r="F63" s="1628"/>
      <c r="G63" s="1628"/>
      <c r="H63" s="1628"/>
      <c r="I63" s="1630" t="s">
        <v>608</v>
      </c>
      <c r="J63" s="1626" t="s">
        <v>610</v>
      </c>
      <c r="K63" s="1631"/>
      <c r="L63" s="1630" t="s">
        <v>607</v>
      </c>
      <c r="M63" s="1626"/>
      <c r="N63" s="1631"/>
      <c r="O63" s="1630" t="s">
        <v>609</v>
      </c>
      <c r="P63" s="1626"/>
      <c r="Q63" s="1631"/>
    </row>
    <row r="64" spans="3:17">
      <c r="C64" s="1632" t="s">
        <v>321</v>
      </c>
      <c r="D64" s="1633"/>
      <c r="E64" s="1634"/>
      <c r="F64" s="1635"/>
      <c r="G64" s="1658"/>
      <c r="H64" s="1658"/>
      <c r="I64" s="1637" t="s">
        <v>402</v>
      </c>
      <c r="J64" s="1637" t="s">
        <v>403</v>
      </c>
      <c r="K64" s="1637" t="s">
        <v>404</v>
      </c>
      <c r="L64" s="1637" t="s">
        <v>402</v>
      </c>
      <c r="M64" s="1637" t="s">
        <v>403</v>
      </c>
      <c r="N64" s="1637" t="s">
        <v>404</v>
      </c>
      <c r="O64" s="1637" t="s">
        <v>402</v>
      </c>
      <c r="P64" s="1637" t="s">
        <v>403</v>
      </c>
      <c r="Q64" s="1637" t="s">
        <v>404</v>
      </c>
    </row>
    <row r="65" spans="3:17">
      <c r="C65" s="1641" t="s">
        <v>356</v>
      </c>
      <c r="D65" s="1642"/>
      <c r="E65" s="1659"/>
      <c r="F65" s="1660"/>
      <c r="G65" s="1661">
        <v>1</v>
      </c>
      <c r="H65" s="1661"/>
      <c r="I65" s="1662">
        <v>15.990999999999998</v>
      </c>
      <c r="J65" s="1662">
        <v>15.990999999999998</v>
      </c>
      <c r="K65" s="1662">
        <v>15.990999999999998</v>
      </c>
      <c r="L65" s="1662">
        <v>16.456</v>
      </c>
      <c r="M65" s="1662">
        <v>16.456</v>
      </c>
      <c r="N65" s="1662">
        <v>16.456</v>
      </c>
      <c r="O65" s="1662">
        <v>16.21</v>
      </c>
      <c r="P65" s="1662">
        <v>16.21</v>
      </c>
      <c r="Q65" s="1662">
        <v>16.21</v>
      </c>
    </row>
    <row r="66" spans="3:17" ht="13.5" customHeight="1">
      <c r="C66" s="1644"/>
      <c r="D66" s="844" t="s">
        <v>1979</v>
      </c>
      <c r="E66" s="844"/>
      <c r="F66" s="1645">
        <v>1</v>
      </c>
      <c r="G66" s="1661"/>
      <c r="H66" s="1661"/>
      <c r="I66" s="1662"/>
      <c r="J66" s="1662"/>
      <c r="K66" s="1662"/>
      <c r="L66" s="1662"/>
      <c r="M66" s="1662"/>
      <c r="N66" s="1662"/>
      <c r="O66" s="1662"/>
      <c r="P66" s="1662"/>
      <c r="Q66" s="1662"/>
    </row>
    <row r="67" spans="3:17" ht="13.5" hidden="1" customHeight="1">
      <c r="C67" s="1644"/>
      <c r="D67" s="1650" t="s">
        <v>2323</v>
      </c>
      <c r="E67" s="1650"/>
      <c r="F67" s="1663"/>
      <c r="G67" s="1656"/>
      <c r="H67" s="1664">
        <v>0</v>
      </c>
      <c r="I67" s="1662">
        <f>I65-(I65-I66)*$H67</f>
        <v>15.990999999999998</v>
      </c>
      <c r="J67" s="1662">
        <f t="shared" ref="J67:Q67" si="28">J65-(J65-J66)*$H67</f>
        <v>15.990999999999998</v>
      </c>
      <c r="K67" s="1662">
        <f t="shared" si="28"/>
        <v>15.990999999999998</v>
      </c>
      <c r="L67" s="1662">
        <f t="shared" si="28"/>
        <v>16.456</v>
      </c>
      <c r="M67" s="1662">
        <f t="shared" si="28"/>
        <v>16.456</v>
      </c>
      <c r="N67" s="1662">
        <f t="shared" si="28"/>
        <v>16.456</v>
      </c>
      <c r="O67" s="1662">
        <f t="shared" si="28"/>
        <v>16.21</v>
      </c>
      <c r="P67" s="1662">
        <f t="shared" si="28"/>
        <v>16.21</v>
      </c>
      <c r="Q67" s="1662">
        <f t="shared" si="28"/>
        <v>16.21</v>
      </c>
    </row>
    <row r="68" spans="3:17">
      <c r="C68" s="1641" t="s">
        <v>1462</v>
      </c>
      <c r="D68" s="1659"/>
      <c r="E68" s="1659"/>
      <c r="F68" s="1660"/>
      <c r="G68" s="1661">
        <v>2</v>
      </c>
      <c r="H68" s="1661"/>
      <c r="I68" s="1662">
        <v>11.802</v>
      </c>
      <c r="J68" s="1662">
        <v>11.802</v>
      </c>
      <c r="K68" s="1662">
        <v>11.802</v>
      </c>
      <c r="L68" s="1662">
        <v>12.423999999999999</v>
      </c>
      <c r="M68" s="1662">
        <v>12.423999999999999</v>
      </c>
      <c r="N68" s="1662">
        <v>12.423999999999999</v>
      </c>
      <c r="O68" s="1662">
        <v>12.306000000000001</v>
      </c>
      <c r="P68" s="1662">
        <v>12.306000000000001</v>
      </c>
      <c r="Q68" s="1662">
        <v>12.306000000000001</v>
      </c>
    </row>
    <row r="69" spans="3:17">
      <c r="C69" s="1644"/>
      <c r="D69" s="844" t="s">
        <v>1979</v>
      </c>
      <c r="E69" s="844"/>
      <c r="F69" s="1645">
        <v>1</v>
      </c>
      <c r="G69" s="1661"/>
      <c r="H69" s="1661"/>
      <c r="I69" s="1662"/>
      <c r="J69" s="1662"/>
      <c r="K69" s="1662"/>
      <c r="L69" s="1662"/>
      <c r="M69" s="1662"/>
      <c r="N69" s="1662"/>
      <c r="O69" s="1662"/>
      <c r="P69" s="1662"/>
      <c r="Q69" s="1662"/>
    </row>
    <row r="70" spans="3:17" hidden="1">
      <c r="C70" s="1644"/>
      <c r="D70" s="1650" t="s">
        <v>2323</v>
      </c>
      <c r="E70" s="1650"/>
      <c r="F70" s="1663"/>
      <c r="G70" s="1656"/>
      <c r="H70" s="1664">
        <v>0</v>
      </c>
      <c r="I70" s="1662">
        <f t="shared" ref="I70:Q70" si="29">I68-(I68-I69)*$H70</f>
        <v>11.802</v>
      </c>
      <c r="J70" s="1662">
        <f t="shared" si="29"/>
        <v>11.802</v>
      </c>
      <c r="K70" s="1662">
        <f t="shared" si="29"/>
        <v>11.802</v>
      </c>
      <c r="L70" s="1662">
        <f t="shared" si="29"/>
        <v>12.423999999999999</v>
      </c>
      <c r="M70" s="1662">
        <f t="shared" si="29"/>
        <v>12.423999999999999</v>
      </c>
      <c r="N70" s="1662">
        <f t="shared" si="29"/>
        <v>12.423999999999999</v>
      </c>
      <c r="O70" s="1662">
        <f t="shared" si="29"/>
        <v>12.306000000000001</v>
      </c>
      <c r="P70" s="1662">
        <f t="shared" si="29"/>
        <v>12.306000000000001</v>
      </c>
      <c r="Q70" s="1662">
        <f t="shared" si="29"/>
        <v>12.306000000000001</v>
      </c>
    </row>
    <row r="71" spans="3:17">
      <c r="C71" s="1641" t="s">
        <v>1614</v>
      </c>
      <c r="D71" s="1659"/>
      <c r="E71" s="1659"/>
      <c r="F71" s="1660"/>
      <c r="G71" s="1661">
        <v>3</v>
      </c>
      <c r="H71" s="1661"/>
      <c r="I71" s="1662">
        <v>6.88</v>
      </c>
      <c r="J71" s="1662">
        <v>6.88</v>
      </c>
      <c r="K71" s="1662">
        <v>6.88</v>
      </c>
      <c r="L71" s="1662">
        <v>7.7379999999999995</v>
      </c>
      <c r="M71" s="1662">
        <v>7.7379999999999995</v>
      </c>
      <c r="N71" s="1662">
        <v>7.7379999999999995</v>
      </c>
      <c r="O71" s="1662">
        <v>6.91</v>
      </c>
      <c r="P71" s="1662">
        <v>6.91</v>
      </c>
      <c r="Q71" s="1662">
        <v>6.91</v>
      </c>
    </row>
    <row r="72" spans="3:17">
      <c r="C72" s="1644"/>
      <c r="D72" s="844" t="s">
        <v>1979</v>
      </c>
      <c r="E72" s="844"/>
      <c r="F72" s="1645">
        <v>1</v>
      </c>
      <c r="G72" s="1661"/>
      <c r="H72" s="1661"/>
      <c r="I72" s="1662"/>
      <c r="J72" s="1662"/>
      <c r="K72" s="1662"/>
      <c r="L72" s="1662"/>
      <c r="M72" s="1662"/>
      <c r="N72" s="1662"/>
      <c r="O72" s="1662"/>
      <c r="P72" s="1662"/>
      <c r="Q72" s="1662"/>
    </row>
    <row r="73" spans="3:17" hidden="1">
      <c r="C73" s="1644"/>
      <c r="D73" s="1650" t="s">
        <v>2323</v>
      </c>
      <c r="E73" s="1650"/>
      <c r="F73" s="1663"/>
      <c r="G73" s="1656"/>
      <c r="H73" s="1664">
        <v>0</v>
      </c>
      <c r="I73" s="1662">
        <f>I71-(I71-I72)*$H73</f>
        <v>6.88</v>
      </c>
      <c r="J73" s="1662">
        <f>J71-(J71-J72)*$H73</f>
        <v>6.88</v>
      </c>
      <c r="K73" s="1662">
        <f>K71-(K71-K72)*$H73</f>
        <v>6.88</v>
      </c>
      <c r="L73" s="1662">
        <v>13.193999999999999</v>
      </c>
      <c r="M73" s="1662">
        <v>13.193999999999999</v>
      </c>
      <c r="N73" s="1662">
        <v>13.193999999999999</v>
      </c>
      <c r="O73" s="1662">
        <f>O71-(O71-O72)*$H73</f>
        <v>6.91</v>
      </c>
      <c r="P73" s="1662">
        <f>P71-(P71-P72)*$H73</f>
        <v>6.91</v>
      </c>
      <c r="Q73" s="1662">
        <f>Q71-(Q71-Q72)*$H73</f>
        <v>6.91</v>
      </c>
    </row>
    <row r="74" spans="3:17">
      <c r="C74" s="1641" t="s">
        <v>1713</v>
      </c>
      <c r="D74" s="1659"/>
      <c r="E74" s="1659"/>
      <c r="F74" s="1660"/>
      <c r="G74" s="1661">
        <v>4</v>
      </c>
      <c r="H74" s="1661"/>
      <c r="I74" s="1662">
        <v>6.88</v>
      </c>
      <c r="J74" s="1662">
        <v>6.88</v>
      </c>
      <c r="K74" s="1662">
        <v>6.88</v>
      </c>
      <c r="L74" s="1662">
        <v>7.7379999999999995</v>
      </c>
      <c r="M74" s="1662">
        <v>7.7379999999999995</v>
      </c>
      <c r="N74" s="1662">
        <v>7.7379999999999995</v>
      </c>
      <c r="O74" s="1662">
        <v>6.91</v>
      </c>
      <c r="P74" s="1662">
        <v>6.91</v>
      </c>
      <c r="Q74" s="1662">
        <v>6.91</v>
      </c>
    </row>
    <row r="75" spans="3:17">
      <c r="C75" s="1644"/>
      <c r="D75" s="844" t="s">
        <v>1979</v>
      </c>
      <c r="E75" s="844"/>
      <c r="F75" s="1645">
        <v>1</v>
      </c>
      <c r="G75" s="1661"/>
      <c r="H75" s="1661"/>
      <c r="I75" s="1662"/>
      <c r="J75" s="1662"/>
      <c r="K75" s="1662"/>
      <c r="L75" s="1662"/>
      <c r="M75" s="1662"/>
      <c r="N75" s="1662"/>
      <c r="O75" s="1662"/>
      <c r="P75" s="1662"/>
      <c r="Q75" s="1662"/>
    </row>
    <row r="76" spans="3:17" hidden="1">
      <c r="C76" s="1644"/>
      <c r="D76" s="1650" t="s">
        <v>2323</v>
      </c>
      <c r="E76" s="1650"/>
      <c r="F76" s="1663"/>
      <c r="G76" s="1656"/>
      <c r="H76" s="1664">
        <v>0</v>
      </c>
      <c r="I76" s="1662">
        <f t="shared" ref="I76:Q76" si="30">I74-(I74-I75)*$H76</f>
        <v>6.88</v>
      </c>
      <c r="J76" s="1662">
        <f t="shared" si="30"/>
        <v>6.88</v>
      </c>
      <c r="K76" s="1662">
        <f t="shared" si="30"/>
        <v>6.88</v>
      </c>
      <c r="L76" s="1662">
        <f t="shared" si="30"/>
        <v>7.7379999999999995</v>
      </c>
      <c r="M76" s="1662">
        <f t="shared" si="30"/>
        <v>7.7379999999999995</v>
      </c>
      <c r="N76" s="1662">
        <f t="shared" si="30"/>
        <v>7.7379999999999995</v>
      </c>
      <c r="O76" s="1662">
        <f t="shared" si="30"/>
        <v>6.91</v>
      </c>
      <c r="P76" s="1662">
        <f t="shared" si="30"/>
        <v>6.91</v>
      </c>
      <c r="Q76" s="1662">
        <f t="shared" si="30"/>
        <v>6.91</v>
      </c>
    </row>
    <row r="77" spans="3:17">
      <c r="C77" s="1641" t="s">
        <v>1616</v>
      </c>
      <c r="D77" s="1659"/>
      <c r="E77" s="1659"/>
      <c r="F77" s="1660"/>
      <c r="G77" s="1661">
        <v>5</v>
      </c>
      <c r="H77" s="1661"/>
      <c r="I77" s="1662">
        <v>12.809999999999999</v>
      </c>
      <c r="J77" s="1662">
        <v>12.809999999999999</v>
      </c>
      <c r="K77" s="1662">
        <v>12.809999999999999</v>
      </c>
      <c r="L77" s="1662">
        <v>13.426</v>
      </c>
      <c r="M77" s="1662">
        <v>13.426</v>
      </c>
      <c r="N77" s="1662">
        <v>13.426</v>
      </c>
      <c r="O77" s="1662">
        <v>13.251000000000001</v>
      </c>
      <c r="P77" s="1662">
        <v>13.251000000000001</v>
      </c>
      <c r="Q77" s="1662">
        <v>13.251000000000001</v>
      </c>
    </row>
    <row r="78" spans="3:17">
      <c r="C78" s="1644"/>
      <c r="D78" s="844" t="s">
        <v>1979</v>
      </c>
      <c r="E78" s="844"/>
      <c r="F78" s="1645">
        <v>1</v>
      </c>
      <c r="G78" s="1661"/>
      <c r="H78" s="1661"/>
      <c r="I78" s="1662"/>
      <c r="J78" s="1662"/>
      <c r="K78" s="1662"/>
      <c r="L78" s="1662"/>
      <c r="M78" s="1662"/>
      <c r="N78" s="1662"/>
      <c r="O78" s="1662"/>
      <c r="P78" s="1662"/>
      <c r="Q78" s="1662"/>
    </row>
    <row r="79" spans="3:17" hidden="1">
      <c r="C79" s="1644"/>
      <c r="D79" s="1650" t="s">
        <v>2323</v>
      </c>
      <c r="E79" s="1650"/>
      <c r="F79" s="1663"/>
      <c r="G79" s="1656"/>
      <c r="H79" s="1664">
        <v>0</v>
      </c>
      <c r="I79" s="1662">
        <f t="shared" ref="I79:Q79" si="31">I77-(I77-I78)*$H79</f>
        <v>12.809999999999999</v>
      </c>
      <c r="J79" s="1662">
        <f t="shared" si="31"/>
        <v>12.809999999999999</v>
      </c>
      <c r="K79" s="1662">
        <f t="shared" si="31"/>
        <v>12.809999999999999</v>
      </c>
      <c r="L79" s="1662">
        <f t="shared" si="31"/>
        <v>13.426</v>
      </c>
      <c r="M79" s="1662">
        <f t="shared" si="31"/>
        <v>13.426</v>
      </c>
      <c r="N79" s="1662">
        <f t="shared" si="31"/>
        <v>13.426</v>
      </c>
      <c r="O79" s="1662">
        <f t="shared" si="31"/>
        <v>13.251000000000001</v>
      </c>
      <c r="P79" s="1662">
        <f t="shared" si="31"/>
        <v>13.251000000000001</v>
      </c>
      <c r="Q79" s="1662">
        <f t="shared" si="31"/>
        <v>13.251000000000001</v>
      </c>
    </row>
    <row r="80" spans="3:17">
      <c r="C80" s="1641" t="s">
        <v>372</v>
      </c>
      <c r="D80" s="1634"/>
      <c r="E80" s="1634"/>
      <c r="F80" s="1660"/>
      <c r="G80" s="1661">
        <v>6</v>
      </c>
      <c r="H80" s="1661"/>
      <c r="I80" s="1662">
        <v>8.6499999999999986</v>
      </c>
      <c r="J80" s="1662">
        <v>8.6499999999999986</v>
      </c>
      <c r="K80" s="1662">
        <v>8.6499999999999986</v>
      </c>
      <c r="L80" s="1662">
        <v>9.4220000000000006</v>
      </c>
      <c r="M80" s="1662">
        <v>9.4220000000000006</v>
      </c>
      <c r="N80" s="1662">
        <v>9.4220000000000006</v>
      </c>
      <c r="O80" s="1662">
        <v>9.0609999999999999</v>
      </c>
      <c r="P80" s="1662">
        <v>9.0609999999999999</v>
      </c>
      <c r="Q80" s="1662">
        <v>9.0609999999999999</v>
      </c>
    </row>
    <row r="81" spans="3:21">
      <c r="C81" s="1644"/>
      <c r="D81" s="844" t="s">
        <v>1979</v>
      </c>
      <c r="E81" s="844"/>
      <c r="F81" s="1645">
        <v>1</v>
      </c>
      <c r="G81" s="1661"/>
      <c r="H81" s="1661"/>
      <c r="I81" s="1662"/>
      <c r="J81" s="1662"/>
      <c r="K81" s="1662"/>
      <c r="L81" s="1662"/>
      <c r="M81" s="1662"/>
      <c r="N81" s="1662"/>
      <c r="O81" s="1662"/>
      <c r="P81" s="1662"/>
      <c r="Q81" s="1662"/>
    </row>
    <row r="82" spans="3:21" hidden="1">
      <c r="C82" s="1665"/>
      <c r="D82" s="1650" t="s">
        <v>2323</v>
      </c>
      <c r="E82" s="1650"/>
      <c r="F82" s="1663"/>
      <c r="G82" s="1656"/>
      <c r="H82" s="1664">
        <v>0</v>
      </c>
      <c r="I82" s="1662">
        <f t="shared" ref="I82:Q82" si="32">I80-(I80-I81)*$H82</f>
        <v>8.6499999999999986</v>
      </c>
      <c r="J82" s="1662">
        <f t="shared" si="32"/>
        <v>8.6499999999999986</v>
      </c>
      <c r="K82" s="1662">
        <f t="shared" si="32"/>
        <v>8.6499999999999986</v>
      </c>
      <c r="L82" s="1662">
        <f t="shared" si="32"/>
        <v>9.4220000000000006</v>
      </c>
      <c r="M82" s="1662">
        <f t="shared" si="32"/>
        <v>9.4220000000000006</v>
      </c>
      <c r="N82" s="1662">
        <f t="shared" si="32"/>
        <v>9.4220000000000006</v>
      </c>
      <c r="O82" s="1662">
        <f t="shared" si="32"/>
        <v>9.0609999999999999</v>
      </c>
      <c r="P82" s="1662">
        <f t="shared" si="32"/>
        <v>9.0609999999999999</v>
      </c>
      <c r="Q82" s="1662">
        <f t="shared" si="32"/>
        <v>9.0609999999999999</v>
      </c>
    </row>
    <row r="83" spans="3:21">
      <c r="C83" s="1641" t="s">
        <v>1618</v>
      </c>
      <c r="D83" s="1659"/>
      <c r="E83" s="1659"/>
      <c r="F83" s="1660"/>
      <c r="G83" s="1661">
        <v>7</v>
      </c>
      <c r="H83" s="1661"/>
      <c r="I83" s="1662">
        <v>15.425999999999998</v>
      </c>
      <c r="J83" s="1662">
        <v>15.425999999999998</v>
      </c>
      <c r="K83" s="1662">
        <v>15.425999999999998</v>
      </c>
      <c r="L83" s="1662">
        <v>16.053999999999998</v>
      </c>
      <c r="M83" s="1662">
        <v>16.053999999999998</v>
      </c>
      <c r="N83" s="1662">
        <v>16.053999999999998</v>
      </c>
      <c r="O83" s="1662">
        <v>15.893999999999998</v>
      </c>
      <c r="P83" s="1662">
        <v>15.893999999999998</v>
      </c>
      <c r="Q83" s="1662">
        <v>15.893999999999998</v>
      </c>
    </row>
    <row r="84" spans="3:21">
      <c r="C84" s="1644"/>
      <c r="D84" s="844" t="s">
        <v>1979</v>
      </c>
      <c r="E84" s="844"/>
      <c r="F84" s="1645">
        <v>1</v>
      </c>
      <c r="G84" s="1661"/>
      <c r="H84" s="1661"/>
      <c r="I84" s="1662"/>
      <c r="J84" s="1662"/>
      <c r="K84" s="1662"/>
      <c r="L84" s="1662"/>
      <c r="M84" s="1662"/>
      <c r="N84" s="1662"/>
      <c r="O84" s="1662"/>
      <c r="P84" s="1662"/>
      <c r="Q84" s="1662"/>
    </row>
    <row r="85" spans="3:21" hidden="1">
      <c r="C85" s="1644"/>
      <c r="D85" s="1650" t="s">
        <v>2323</v>
      </c>
      <c r="E85" s="1650"/>
      <c r="F85" s="1663"/>
      <c r="G85" s="1656"/>
      <c r="H85" s="1664">
        <v>0</v>
      </c>
      <c r="I85" s="1662">
        <f t="shared" ref="I85:Q85" si="33">I83-(I83-I84)*$H85</f>
        <v>15.425999999999998</v>
      </c>
      <c r="J85" s="1662">
        <f t="shared" si="33"/>
        <v>15.425999999999998</v>
      </c>
      <c r="K85" s="1662">
        <f t="shared" si="33"/>
        <v>15.425999999999998</v>
      </c>
      <c r="L85" s="1662">
        <f t="shared" si="33"/>
        <v>16.053999999999998</v>
      </c>
      <c r="M85" s="1662">
        <f t="shared" si="33"/>
        <v>16.053999999999998</v>
      </c>
      <c r="N85" s="1662">
        <f t="shared" si="33"/>
        <v>16.053999999999998</v>
      </c>
      <c r="O85" s="1662">
        <f t="shared" si="33"/>
        <v>15.893999999999998</v>
      </c>
      <c r="P85" s="1662">
        <f t="shared" si="33"/>
        <v>15.893999999999998</v>
      </c>
      <c r="Q85" s="1662">
        <f t="shared" si="33"/>
        <v>15.893999999999998</v>
      </c>
    </row>
    <row r="86" spans="3:21">
      <c r="C86" s="1641" t="s">
        <v>368</v>
      </c>
      <c r="D86" s="1659"/>
      <c r="E86" s="1659"/>
      <c r="F86" s="1660"/>
      <c r="G86" s="1661">
        <v>8</v>
      </c>
      <c r="H86" s="1661"/>
      <c r="I86" s="1662">
        <v>13.297999999999998</v>
      </c>
      <c r="J86" s="1662">
        <v>13.297999999999998</v>
      </c>
      <c r="K86" s="1662">
        <v>13.297999999999998</v>
      </c>
      <c r="L86" s="1662">
        <v>13.942</v>
      </c>
      <c r="M86" s="1662">
        <v>13.942</v>
      </c>
      <c r="N86" s="1662">
        <v>13.942</v>
      </c>
      <c r="O86" s="1662">
        <v>13.670999999999999</v>
      </c>
      <c r="P86" s="1662">
        <v>13.670999999999999</v>
      </c>
      <c r="Q86" s="1662">
        <v>13.670999999999999</v>
      </c>
    </row>
    <row r="87" spans="3:21">
      <c r="C87" s="1644"/>
      <c r="D87" s="844" t="s">
        <v>1979</v>
      </c>
      <c r="E87" s="844"/>
      <c r="F87" s="1645">
        <v>1</v>
      </c>
      <c r="G87" s="1661"/>
      <c r="H87" s="1661"/>
      <c r="I87" s="1666"/>
      <c r="J87" s="1666"/>
      <c r="K87" s="1666"/>
      <c r="L87" s="1666"/>
      <c r="M87" s="1666"/>
      <c r="N87" s="1666"/>
      <c r="O87" s="1666"/>
      <c r="P87" s="1666"/>
      <c r="Q87" s="1666"/>
    </row>
    <row r="88" spans="3:21" hidden="1">
      <c r="C88" s="1644"/>
      <c r="D88" s="1650" t="s">
        <v>2323</v>
      </c>
      <c r="E88" s="1650"/>
      <c r="F88" s="1663"/>
      <c r="G88" s="1656"/>
      <c r="H88" s="1664">
        <v>0</v>
      </c>
      <c r="I88" s="1662">
        <f t="shared" ref="I88:Q88" si="34">I86-(I86-I87)*$H88</f>
        <v>13.297999999999998</v>
      </c>
      <c r="J88" s="1662">
        <f t="shared" si="34"/>
        <v>13.297999999999998</v>
      </c>
      <c r="K88" s="1662">
        <f t="shared" si="34"/>
        <v>13.297999999999998</v>
      </c>
      <c r="L88" s="1662">
        <f t="shared" si="34"/>
        <v>13.942</v>
      </c>
      <c r="M88" s="1662">
        <f t="shared" si="34"/>
        <v>13.942</v>
      </c>
      <c r="N88" s="1662">
        <f t="shared" si="34"/>
        <v>13.942</v>
      </c>
      <c r="O88" s="1662">
        <f t="shared" si="34"/>
        <v>13.670999999999999</v>
      </c>
      <c r="P88" s="1662">
        <f t="shared" si="34"/>
        <v>13.670999999999999</v>
      </c>
      <c r="Q88" s="1662">
        <f t="shared" si="34"/>
        <v>13.670999999999999</v>
      </c>
    </row>
    <row r="89" spans="3:21">
      <c r="C89" s="1641" t="s">
        <v>1714</v>
      </c>
      <c r="D89" s="1634"/>
      <c r="E89" s="1634"/>
      <c r="F89" s="1660"/>
      <c r="G89" s="1661">
        <v>9</v>
      </c>
      <c r="H89" s="1661"/>
      <c r="I89" s="1666">
        <v>8.0190000000000001</v>
      </c>
      <c r="J89" s="1666">
        <v>9.7210000000000001</v>
      </c>
      <c r="K89" s="1666">
        <v>10.979000000000001</v>
      </c>
      <c r="L89" s="1666">
        <v>8.3709999999999987</v>
      </c>
      <c r="M89" s="1666">
        <v>9.7349999999999994</v>
      </c>
      <c r="N89" s="1666">
        <v>10.863</v>
      </c>
      <c r="O89" s="1666">
        <v>8.3640000000000008</v>
      </c>
      <c r="P89" s="1666">
        <v>9.68</v>
      </c>
      <c r="Q89" s="1666">
        <v>10.783000000000001</v>
      </c>
    </row>
    <row r="90" spans="3:21" ht="12.75" customHeight="1">
      <c r="C90" s="1644"/>
      <c r="D90" s="844" t="s">
        <v>1979</v>
      </c>
      <c r="E90" s="844"/>
      <c r="F90" s="1645">
        <v>1</v>
      </c>
      <c r="G90" s="1667"/>
      <c r="H90" s="1667"/>
      <c r="I90" s="1662"/>
      <c r="J90" s="1662"/>
      <c r="K90" s="1662"/>
      <c r="L90" s="1662"/>
      <c r="M90" s="1662"/>
      <c r="N90" s="1662"/>
      <c r="O90" s="1662"/>
      <c r="P90" s="1662"/>
      <c r="Q90" s="1662"/>
    </row>
    <row r="91" spans="3:21" hidden="1">
      <c r="C91" s="1665"/>
      <c r="D91" s="1650" t="s">
        <v>2323</v>
      </c>
      <c r="E91" s="1650"/>
      <c r="F91" s="1668"/>
      <c r="G91" s="1656"/>
      <c r="H91" s="1664">
        <v>0</v>
      </c>
      <c r="I91" s="1669">
        <f t="shared" ref="I91:Q91" si="35">I89-(I89-I90)*$H91</f>
        <v>8.0190000000000001</v>
      </c>
      <c r="J91" s="1669">
        <f t="shared" si="35"/>
        <v>9.7210000000000001</v>
      </c>
      <c r="K91" s="1669">
        <f t="shared" si="35"/>
        <v>10.979000000000001</v>
      </c>
      <c r="L91" s="1669">
        <f t="shared" si="35"/>
        <v>8.3709999999999987</v>
      </c>
      <c r="M91" s="1669">
        <f t="shared" si="35"/>
        <v>9.7349999999999994</v>
      </c>
      <c r="N91" s="1669">
        <f t="shared" si="35"/>
        <v>10.863</v>
      </c>
      <c r="O91" s="1669">
        <f t="shared" si="35"/>
        <v>8.3640000000000008</v>
      </c>
      <c r="P91" s="1669">
        <f t="shared" si="35"/>
        <v>9.68</v>
      </c>
      <c r="Q91" s="1669">
        <f t="shared" si="35"/>
        <v>10.783000000000001</v>
      </c>
    </row>
    <row r="92" spans="3:21">
      <c r="C92" s="1657"/>
      <c r="D92" s="1657"/>
      <c r="E92" s="1628"/>
      <c r="F92" s="1670"/>
      <c r="G92" s="1670"/>
      <c r="H92" s="1670"/>
      <c r="I92" s="1670"/>
      <c r="J92" s="1670"/>
      <c r="K92" s="1670"/>
      <c r="L92" s="1670"/>
      <c r="M92" s="1657"/>
      <c r="N92" s="1657"/>
      <c r="O92" s="1657"/>
      <c r="P92" s="1657"/>
      <c r="Q92" s="1657"/>
    </row>
    <row r="93" spans="3:21">
      <c r="C93" s="1621" t="s">
        <v>2324</v>
      </c>
      <c r="D93" s="1622"/>
      <c r="E93" s="1623"/>
      <c r="F93" s="1623"/>
      <c r="G93" s="1623"/>
      <c r="H93" s="1623"/>
      <c r="I93" s="1623"/>
      <c r="J93" s="1623"/>
      <c r="K93" s="1623"/>
      <c r="L93" s="1623"/>
      <c r="M93" s="1623"/>
      <c r="N93" s="1623"/>
      <c r="O93" s="1623"/>
      <c r="P93" s="1623"/>
      <c r="Q93" s="1623"/>
    </row>
    <row r="94" spans="3:21">
      <c r="C94" s="1629" t="s">
        <v>1440</v>
      </c>
      <c r="D94" s="1622"/>
      <c r="E94" s="1623"/>
      <c r="F94" s="1623"/>
      <c r="G94" s="1623"/>
      <c r="H94" s="1623"/>
      <c r="I94" s="1623"/>
      <c r="J94" s="1623"/>
      <c r="K94" s="1623"/>
      <c r="L94" s="1623"/>
      <c r="M94" s="1623"/>
      <c r="N94" s="1623"/>
      <c r="O94" s="1623"/>
      <c r="P94" s="1623"/>
      <c r="Q94" s="1623"/>
    </row>
    <row r="95" spans="3:21">
      <c r="D95" s="1623" t="s">
        <v>2325</v>
      </c>
      <c r="F95" s="2168" t="s">
        <v>1466</v>
      </c>
      <c r="G95" s="1623"/>
      <c r="H95" s="1623"/>
      <c r="I95" s="2156" t="e">
        <f>係数!D5*1000</f>
        <v>#VALUE!</v>
      </c>
      <c r="J95" s="1671" t="str">
        <f>係数!C5</f>
        <v>根拠を記入してください</v>
      </c>
      <c r="K95" s="1657"/>
      <c r="L95" s="1657"/>
      <c r="M95" s="1657" t="s">
        <v>1467</v>
      </c>
      <c r="N95" s="1657"/>
      <c r="O95" s="1657" t="e">
        <f>係数!J89*1000</f>
        <v>#VALUE!</v>
      </c>
      <c r="P95" s="1657" t="s">
        <v>406</v>
      </c>
      <c r="Q95" s="1672"/>
    </row>
    <row r="96" spans="3:21">
      <c r="C96" s="1621"/>
      <c r="D96" s="1623"/>
      <c r="F96" s="2168" t="s">
        <v>1468</v>
      </c>
      <c r="G96" s="1623"/>
      <c r="H96" s="1623"/>
      <c r="I96" s="2156" t="e">
        <f>I95/J96</f>
        <v>#VALUE!</v>
      </c>
      <c r="J96" s="1675">
        <v>9.76</v>
      </c>
      <c r="K96" s="1673" t="s">
        <v>1889</v>
      </c>
      <c r="L96" s="1623"/>
      <c r="M96" s="1623"/>
      <c r="N96" s="1623"/>
      <c r="O96" s="1623"/>
      <c r="P96" s="1623"/>
      <c r="Q96" s="1674"/>
      <c r="U96" t="e">
        <f>O95/J96</f>
        <v>#VALUE!</v>
      </c>
    </row>
    <row r="97" spans="2:19">
      <c r="C97" s="1621"/>
      <c r="D97" s="1623" t="s">
        <v>1469</v>
      </c>
      <c r="F97" s="2168" t="s">
        <v>1468</v>
      </c>
      <c r="G97" s="1623"/>
      <c r="H97" s="1623"/>
      <c r="I97" s="2156">
        <v>4.9799999999999997E-2</v>
      </c>
      <c r="J97" s="1675"/>
      <c r="K97" s="1623"/>
      <c r="L97" s="1623"/>
      <c r="M97" s="1623"/>
      <c r="N97" s="1623"/>
      <c r="O97" s="1623"/>
      <c r="P97" s="1623"/>
      <c r="Q97" s="1674"/>
    </row>
    <row r="98" spans="2:19" hidden="1">
      <c r="C98" s="1621"/>
      <c r="D98" s="1623" t="s">
        <v>1470</v>
      </c>
      <c r="F98" s="2168" t="s">
        <v>1468</v>
      </c>
      <c r="G98" s="1623"/>
      <c r="H98" s="1623"/>
      <c r="I98" s="2156">
        <v>5.7000000000000002E-2</v>
      </c>
      <c r="J98" s="1675"/>
      <c r="K98" s="1623"/>
      <c r="L98" s="1623"/>
      <c r="M98" s="1623"/>
      <c r="N98" s="1623"/>
      <c r="O98" s="1623"/>
      <c r="P98" s="1623"/>
      <c r="Q98" s="1674"/>
    </row>
    <row r="99" spans="2:19">
      <c r="C99" s="1621"/>
      <c r="D99" s="1623" t="s">
        <v>1471</v>
      </c>
      <c r="F99" s="2168" t="s">
        <v>1468</v>
      </c>
      <c r="G99" s="1623"/>
      <c r="H99" s="1623"/>
      <c r="I99" s="2156">
        <v>6.7799999999999999E-2</v>
      </c>
      <c r="J99" s="1675"/>
      <c r="K99" s="1623"/>
      <c r="L99" s="1623"/>
      <c r="M99" s="1623"/>
      <c r="N99" s="1623"/>
      <c r="O99" s="1623"/>
      <c r="P99" s="1623"/>
      <c r="Q99" s="1674"/>
    </row>
    <row r="100" spans="2:19">
      <c r="C100" s="1621"/>
      <c r="D100" s="1623" t="s">
        <v>1472</v>
      </c>
      <c r="F100" s="2168" t="s">
        <v>1468</v>
      </c>
      <c r="G100" s="1623"/>
      <c r="H100" s="1623"/>
      <c r="I100" s="2156">
        <v>6.93E-2</v>
      </c>
      <c r="J100" s="1675"/>
      <c r="K100" s="1623"/>
      <c r="L100" s="1623"/>
      <c r="M100" s="1623"/>
      <c r="N100" s="1623"/>
      <c r="O100" s="1623"/>
      <c r="P100" s="1623"/>
      <c r="Q100" s="1674"/>
    </row>
    <row r="101" spans="2:19">
      <c r="C101" s="1621"/>
      <c r="D101" s="1623" t="s">
        <v>1473</v>
      </c>
      <c r="F101" s="2168" t="s">
        <v>1468</v>
      </c>
      <c r="G101" s="1623"/>
      <c r="H101" s="1623"/>
      <c r="I101" s="2156">
        <f>(I99+I100)/2</f>
        <v>6.855E-2</v>
      </c>
      <c r="J101" s="2157" t="s">
        <v>1474</v>
      </c>
      <c r="K101" s="1623"/>
      <c r="L101" s="1623"/>
      <c r="M101" s="1623"/>
      <c r="N101" s="1623"/>
      <c r="O101" s="1623"/>
      <c r="P101" s="1623"/>
      <c r="Q101" s="1674"/>
    </row>
    <row r="102" spans="2:19">
      <c r="C102" s="1621"/>
      <c r="D102" s="1623" t="s">
        <v>1326</v>
      </c>
      <c r="F102" s="2168" t="s">
        <v>1327</v>
      </c>
      <c r="G102" s="1623"/>
      <c r="H102" s="1623"/>
      <c r="I102" s="2156">
        <v>5.8999999999999997E-2</v>
      </c>
      <c r="J102" s="1676"/>
      <c r="K102" s="1677"/>
      <c r="L102" s="1677"/>
      <c r="M102" s="1677"/>
      <c r="N102" s="1677"/>
      <c r="O102" s="1677"/>
      <c r="P102" s="1677"/>
      <c r="Q102" s="1678"/>
    </row>
    <row r="103" spans="2:19">
      <c r="B103" s="814"/>
      <c r="C103" s="1623" t="s">
        <v>3357</v>
      </c>
      <c r="D103" s="814"/>
      <c r="E103" s="1623"/>
      <c r="F103" s="1623"/>
      <c r="G103" s="1623"/>
      <c r="H103" s="1623"/>
      <c r="I103" s="1679"/>
      <c r="J103" s="1623"/>
      <c r="K103" s="1623"/>
      <c r="L103" s="1623"/>
      <c r="M103" s="1623"/>
      <c r="N103" s="1623"/>
      <c r="O103" s="1623"/>
      <c r="P103" s="1623"/>
      <c r="Q103" s="1623"/>
      <c r="R103" s="814"/>
      <c r="S103" s="814"/>
    </row>
    <row r="104" spans="2:19">
      <c r="B104" s="814"/>
      <c r="C104" s="1622"/>
      <c r="D104" s="1623" t="s">
        <v>281</v>
      </c>
      <c r="E104" s="814"/>
      <c r="F104" s="1628" t="s">
        <v>3358</v>
      </c>
      <c r="G104" s="1623"/>
      <c r="H104" s="1623"/>
      <c r="I104" s="1623" t="s">
        <v>3359</v>
      </c>
      <c r="J104" s="1623"/>
      <c r="K104" s="1629" t="s">
        <v>3360</v>
      </c>
      <c r="L104" s="1623"/>
      <c r="M104" s="1623" t="s">
        <v>281</v>
      </c>
      <c r="N104" s="1623"/>
      <c r="O104" s="1623" t="s">
        <v>3359</v>
      </c>
      <c r="P104" s="1623"/>
      <c r="Q104" s="1629" t="s">
        <v>3360</v>
      </c>
      <c r="R104" s="814"/>
      <c r="S104" s="814"/>
    </row>
    <row r="105" spans="2:19">
      <c r="B105" s="814"/>
      <c r="C105" s="1622"/>
      <c r="D105" s="2925" t="s">
        <v>3361</v>
      </c>
      <c r="E105" s="2925"/>
      <c r="F105" s="2925"/>
      <c r="G105" s="1623"/>
      <c r="H105" s="1623"/>
      <c r="I105" s="2926">
        <v>6.8300000000000001E-4</v>
      </c>
      <c r="J105" s="1623"/>
      <c r="K105" s="2926">
        <v>6.8800000000000003E-4</v>
      </c>
      <c r="L105" s="1623"/>
      <c r="M105" s="1623" t="str">
        <f>D144</f>
        <v>(株)トヨタタービンアンドシステム</v>
      </c>
      <c r="N105" s="1623"/>
      <c r="O105" s="2926">
        <f>I144</f>
        <v>4.9200000000000003E-4</v>
      </c>
      <c r="P105" s="1623"/>
      <c r="Q105" s="2926">
        <f>K144</f>
        <v>4.7699999999999999E-4</v>
      </c>
      <c r="R105" s="814"/>
      <c r="S105" s="814"/>
    </row>
    <row r="106" spans="2:19">
      <c r="B106" s="814"/>
      <c r="C106" s="1622"/>
      <c r="D106" s="2925" t="s">
        <v>3362</v>
      </c>
      <c r="E106" s="2925"/>
      <c r="F106" s="2925"/>
      <c r="G106" s="1623"/>
      <c r="H106" s="1623"/>
      <c r="I106" s="2926">
        <v>5.71E-4</v>
      </c>
      <c r="J106" s="1623"/>
      <c r="K106" s="2926">
        <v>5.7300000000000005E-4</v>
      </c>
      <c r="L106" s="1623"/>
      <c r="M106" s="1623" t="str">
        <f t="shared" ref="M106:M143" si="36">D145</f>
        <v>(株)とんでん</v>
      </c>
      <c r="N106" s="1623"/>
      <c r="O106" s="2926">
        <f t="shared" ref="O106:O143" si="37">I145</f>
        <v>4.95E-4</v>
      </c>
      <c r="P106" s="1623"/>
      <c r="Q106" s="2926">
        <f t="shared" ref="Q106:Q143" si="38">K145</f>
        <v>4.7899999999999999E-4</v>
      </c>
      <c r="R106" s="814"/>
      <c r="S106" s="814"/>
    </row>
    <row r="107" spans="2:19">
      <c r="B107" s="814"/>
      <c r="C107" s="1622"/>
      <c r="D107" s="2925" t="s">
        <v>3363</v>
      </c>
      <c r="E107" s="2925"/>
      <c r="F107" s="2925"/>
      <c r="G107" s="1623"/>
      <c r="H107" s="1623"/>
      <c r="I107" s="2926">
        <v>5.0500000000000002E-4</v>
      </c>
      <c r="J107" s="1623"/>
      <c r="K107" s="2926">
        <v>4.9600000000000002E-4</v>
      </c>
      <c r="L107" s="1623"/>
      <c r="M107" s="1623" t="str">
        <f t="shared" si="36"/>
        <v>(株)ナンワエナジー</v>
      </c>
      <c r="N107" s="1623"/>
      <c r="O107" s="2926">
        <f t="shared" si="37"/>
        <v>6.02E-4</v>
      </c>
      <c r="P107" s="1623"/>
      <c r="Q107" s="2926">
        <f t="shared" si="38"/>
        <v>6.0099999999999997E-4</v>
      </c>
      <c r="R107" s="814"/>
      <c r="S107" s="814"/>
    </row>
    <row r="108" spans="2:19">
      <c r="B108" s="814"/>
      <c r="C108" s="1622"/>
      <c r="D108" s="2925" t="s">
        <v>3364</v>
      </c>
      <c r="E108" s="2925"/>
      <c r="F108" s="2925"/>
      <c r="G108" s="1623"/>
      <c r="H108" s="1623"/>
      <c r="I108" s="2926">
        <v>4.9700000000000005E-4</v>
      </c>
      <c r="J108" s="1623"/>
      <c r="K108" s="2926">
        <v>4.9399999999999997E-4</v>
      </c>
      <c r="L108" s="1623"/>
      <c r="M108" s="1623" t="str">
        <f t="shared" si="36"/>
        <v>(株)日本セレモニー</v>
      </c>
      <c r="N108" s="1623"/>
      <c r="O108" s="2926">
        <f t="shared" si="37"/>
        <v>6.0999999999999997E-4</v>
      </c>
      <c r="P108" s="1623"/>
      <c r="Q108" s="2926">
        <f t="shared" si="38"/>
        <v>6.96E-4</v>
      </c>
      <c r="R108" s="814"/>
      <c r="S108" s="814"/>
    </row>
    <row r="109" spans="2:19">
      <c r="B109" s="814"/>
      <c r="C109" s="1622"/>
      <c r="D109" s="2925" t="s">
        <v>3365</v>
      </c>
      <c r="E109" s="2925"/>
      <c r="F109" s="2925"/>
      <c r="G109" s="1623"/>
      <c r="H109" s="1623"/>
      <c r="I109" s="2926">
        <v>6.4700000000000001E-4</v>
      </c>
      <c r="J109" s="1623"/>
      <c r="K109" s="2926">
        <v>6.4000000000000005E-4</v>
      </c>
      <c r="L109" s="1623"/>
      <c r="M109" s="1623" t="str">
        <f t="shared" si="36"/>
        <v>(株)Ｖ－Ｐｏｗｅｒ</v>
      </c>
      <c r="N109" s="1623"/>
      <c r="O109" s="2926">
        <f t="shared" si="37"/>
        <v>2.5399999999999999E-4</v>
      </c>
      <c r="P109" s="1623"/>
      <c r="Q109" s="2926">
        <f t="shared" si="38"/>
        <v>5.6099999999999998E-4</v>
      </c>
      <c r="R109" s="814"/>
      <c r="S109" s="814"/>
    </row>
    <row r="110" spans="2:19">
      <c r="B110" s="814"/>
      <c r="C110" s="1622"/>
      <c r="D110" s="2925" t="s">
        <v>3366</v>
      </c>
      <c r="E110" s="2925"/>
      <c r="F110" s="2925"/>
      <c r="G110" s="1623"/>
      <c r="H110" s="1623"/>
      <c r="I110" s="2926">
        <v>5.31E-4</v>
      </c>
      <c r="J110" s="1623"/>
      <c r="K110" s="2926">
        <v>5.2300000000000003E-4</v>
      </c>
      <c r="L110" s="1623"/>
      <c r="M110" s="1623" t="str">
        <f t="shared" si="36"/>
        <v>(株)フォレストパワー</v>
      </c>
      <c r="N110" s="1623"/>
      <c r="O110" s="2926">
        <f t="shared" si="37"/>
        <v>1.9000000000000001E-4</v>
      </c>
      <c r="P110" s="1623"/>
      <c r="Q110" s="2926">
        <f t="shared" si="38"/>
        <v>6.9899999999999997E-4</v>
      </c>
      <c r="R110" s="814"/>
      <c r="S110" s="814"/>
    </row>
    <row r="111" spans="2:19">
      <c r="B111" s="814"/>
      <c r="C111" s="1622"/>
      <c r="D111" s="2925" t="s">
        <v>3367</v>
      </c>
      <c r="E111" s="2925"/>
      <c r="F111" s="2925"/>
      <c r="G111" s="1623"/>
      <c r="H111" s="1623"/>
      <c r="I111" s="2926">
        <v>7.0600000000000003E-4</v>
      </c>
      <c r="J111" s="1623"/>
      <c r="K111" s="2926">
        <v>7.0899999999999999E-4</v>
      </c>
      <c r="L111" s="1623"/>
      <c r="M111" s="1623" t="str">
        <f t="shared" si="36"/>
        <v>(株)ベイサイドエナジー</v>
      </c>
      <c r="N111" s="1623"/>
      <c r="O111" s="2926">
        <f t="shared" si="37"/>
        <v>5.8100000000000003E-4</v>
      </c>
      <c r="P111" s="1623"/>
      <c r="Q111" s="2926">
        <f t="shared" si="38"/>
        <v>5.62E-4</v>
      </c>
      <c r="R111" s="814"/>
      <c r="S111" s="814"/>
    </row>
    <row r="112" spans="2:19">
      <c r="B112" s="814"/>
      <c r="C112" s="1622"/>
      <c r="D112" s="2925" t="s">
        <v>3368</v>
      </c>
      <c r="E112" s="2925"/>
      <c r="F112" s="2925"/>
      <c r="G112" s="1623"/>
      <c r="H112" s="1623"/>
      <c r="I112" s="2926">
        <v>6.7599999999999995E-4</v>
      </c>
      <c r="J112" s="1623"/>
      <c r="K112" s="2926">
        <v>6.8800000000000003E-4</v>
      </c>
      <c r="L112" s="1623"/>
      <c r="M112" s="1623" t="str">
        <f t="shared" si="36"/>
        <v>京葉瓦斯(株)</v>
      </c>
      <c r="N112" s="1623"/>
      <c r="O112" s="2926">
        <f t="shared" si="37"/>
        <v>4.9399999999999997E-4</v>
      </c>
      <c r="P112" s="1623"/>
      <c r="Q112" s="2926">
        <f t="shared" si="38"/>
        <v>4.7800000000000002E-4</v>
      </c>
      <c r="R112" s="814"/>
      <c r="S112" s="814"/>
    </row>
    <row r="113" spans="2:19">
      <c r="B113" s="814"/>
      <c r="C113" s="1622"/>
      <c r="D113" s="2925" t="s">
        <v>3369</v>
      </c>
      <c r="E113" s="2925"/>
      <c r="F113" s="2925"/>
      <c r="G113" s="1623"/>
      <c r="H113" s="1623"/>
      <c r="I113" s="2926">
        <v>5.8399999999999999E-4</v>
      </c>
      <c r="J113" s="1623"/>
      <c r="K113" s="2926">
        <v>5.9800000000000001E-4</v>
      </c>
      <c r="L113" s="1623"/>
      <c r="M113" s="1623" t="str">
        <f t="shared" si="36"/>
        <v>サミットエナジー(株)</v>
      </c>
      <c r="N113" s="1623"/>
      <c r="O113" s="2926">
        <f t="shared" si="37"/>
        <v>4.1300000000000001E-4</v>
      </c>
      <c r="P113" s="1623"/>
      <c r="Q113" s="2926">
        <f t="shared" si="38"/>
        <v>5.0299999999999997E-4</v>
      </c>
      <c r="R113" s="814"/>
      <c r="S113" s="814"/>
    </row>
    <row r="114" spans="2:19">
      <c r="B114" s="814"/>
      <c r="C114" s="1622"/>
      <c r="D114" s="2925" t="s">
        <v>3370</v>
      </c>
      <c r="E114" s="2925"/>
      <c r="F114" s="2925"/>
      <c r="G114" s="1623"/>
      <c r="H114" s="1623"/>
      <c r="I114" s="2926">
        <v>8.1599999999999999E-4</v>
      </c>
      <c r="J114" s="1623"/>
      <c r="K114" s="2926">
        <v>8.1599999999999999E-4</v>
      </c>
      <c r="L114" s="1623"/>
      <c r="M114" s="1623" t="str">
        <f t="shared" si="36"/>
        <v>ＪＸ日鉱日石エネルギー(株)</v>
      </c>
      <c r="N114" s="1623"/>
      <c r="O114" s="2926">
        <f t="shared" si="37"/>
        <v>3.2499999999999999E-4</v>
      </c>
      <c r="P114" s="1623"/>
      <c r="Q114" s="2926">
        <f t="shared" si="38"/>
        <v>3.0600000000000001E-4</v>
      </c>
      <c r="R114" s="814"/>
      <c r="S114" s="814"/>
    </row>
    <row r="115" spans="2:19">
      <c r="B115" s="814"/>
      <c r="C115" s="1622"/>
      <c r="D115" s="2925" t="s">
        <v>3371</v>
      </c>
      <c r="E115" s="2925"/>
      <c r="F115" s="2925"/>
      <c r="G115" s="1623"/>
      <c r="H115" s="1623"/>
      <c r="I115" s="2926">
        <v>4.0999999999999999E-4</v>
      </c>
      <c r="J115" s="1623"/>
      <c r="K115" s="2926">
        <v>3.3700000000000001E-4</v>
      </c>
      <c r="L115" s="1623"/>
      <c r="M115" s="1623" t="str">
        <f t="shared" si="36"/>
        <v>ＪＬエナジー(株)</v>
      </c>
      <c r="N115" s="1623"/>
      <c r="O115" s="2926">
        <f t="shared" si="37"/>
        <v>5.53E-4</v>
      </c>
      <c r="P115" s="1623"/>
      <c r="Q115" s="2926">
        <f t="shared" si="38"/>
        <v>5.3399999999999997E-4</v>
      </c>
      <c r="R115" s="814"/>
      <c r="S115" s="814"/>
    </row>
    <row r="116" spans="2:19">
      <c r="B116" s="814"/>
      <c r="C116" s="1622"/>
      <c r="D116" s="2925" t="s">
        <v>3372</v>
      </c>
      <c r="E116" s="2925"/>
      <c r="F116" s="2925"/>
      <c r="G116" s="1623"/>
      <c r="H116" s="1623"/>
      <c r="I116" s="2926">
        <v>1.9000000000000001E-4</v>
      </c>
      <c r="J116" s="1623"/>
      <c r="K116" s="2926">
        <v>1.83E-4</v>
      </c>
      <c r="L116" s="1623"/>
      <c r="M116" s="1623" t="str">
        <f t="shared" si="36"/>
        <v>志賀高原リゾート開発(株)</v>
      </c>
      <c r="N116" s="1623"/>
      <c r="O116" s="2926">
        <f t="shared" si="37"/>
        <v>3.6000000000000001E-5</v>
      </c>
      <c r="P116" s="1623"/>
      <c r="Q116" s="2926">
        <f t="shared" si="38"/>
        <v>5.7600000000000001E-4</v>
      </c>
      <c r="R116" s="814"/>
      <c r="S116" s="814"/>
    </row>
    <row r="117" spans="2:19">
      <c r="B117" s="814"/>
      <c r="C117" s="1622"/>
      <c r="D117" s="2925" t="s">
        <v>3373</v>
      </c>
      <c r="E117" s="2925"/>
      <c r="F117" s="2925"/>
      <c r="G117" s="1623"/>
      <c r="H117" s="1623"/>
      <c r="I117" s="2926">
        <v>6.6200000000000005E-4</v>
      </c>
      <c r="J117" s="1623"/>
      <c r="K117" s="2926">
        <v>4.6900000000000002E-4</v>
      </c>
      <c r="L117" s="1623"/>
      <c r="M117" s="1623" t="str">
        <f t="shared" si="36"/>
        <v>シナネン(株)</v>
      </c>
      <c r="N117" s="1623"/>
      <c r="O117" s="2926">
        <f t="shared" si="37"/>
        <v>4.1599999999999997E-4</v>
      </c>
      <c r="P117" s="1623"/>
      <c r="Q117" s="2926">
        <f t="shared" si="38"/>
        <v>5.6300000000000002E-4</v>
      </c>
      <c r="R117" s="814"/>
      <c r="S117" s="814"/>
    </row>
    <row r="118" spans="2:19">
      <c r="B118" s="814"/>
      <c r="C118" s="1622"/>
      <c r="D118" s="2925" t="s">
        <v>3374</v>
      </c>
      <c r="E118" s="2925"/>
      <c r="F118" s="2925"/>
      <c r="G118" s="1623"/>
      <c r="H118" s="1623"/>
      <c r="I118" s="2926">
        <v>3.1599999999999998E-4</v>
      </c>
      <c r="J118" s="1623"/>
      <c r="K118" s="2926">
        <v>5.5000000000000003E-4</v>
      </c>
      <c r="L118" s="1623"/>
      <c r="M118" s="1623" t="str">
        <f t="shared" si="36"/>
        <v>昭和シェル石油(株)</v>
      </c>
      <c r="N118" s="1623"/>
      <c r="O118" s="2926">
        <f t="shared" si="37"/>
        <v>3.7199999999999999E-4</v>
      </c>
      <c r="P118" s="1623"/>
      <c r="Q118" s="2926">
        <f t="shared" si="38"/>
        <v>3.5300000000000002E-4</v>
      </c>
      <c r="R118" s="814"/>
      <c r="S118" s="814"/>
    </row>
    <row r="119" spans="2:19">
      <c r="B119" s="814"/>
      <c r="C119" s="1623"/>
      <c r="D119" s="2925" t="s">
        <v>3375</v>
      </c>
      <c r="E119" s="2925"/>
      <c r="F119" s="2925"/>
      <c r="G119" s="1623"/>
      <c r="H119" s="1623"/>
      <c r="I119" s="2926">
        <v>3.1599999999999998E-4</v>
      </c>
      <c r="J119" s="1623"/>
      <c r="K119" s="2926">
        <v>5.6099999999999998E-4</v>
      </c>
      <c r="L119" s="1623"/>
      <c r="M119" s="1623" t="str">
        <f t="shared" si="36"/>
        <v>新日鉄住金エンジニアリング(株)</v>
      </c>
      <c r="N119" s="1623"/>
      <c r="O119" s="2926">
        <f t="shared" si="37"/>
        <v>5.5999999999999995E-4</v>
      </c>
      <c r="P119" s="1623"/>
      <c r="Q119" s="2926">
        <f t="shared" si="38"/>
        <v>5.6999999999999998E-4</v>
      </c>
      <c r="R119" s="814"/>
      <c r="S119" s="814"/>
    </row>
    <row r="120" spans="2:19">
      <c r="B120" s="814"/>
      <c r="C120" s="1622"/>
      <c r="D120" s="2925" t="s">
        <v>3376</v>
      </c>
      <c r="E120" s="2925"/>
      <c r="F120" s="2925"/>
      <c r="G120" s="1623"/>
      <c r="H120" s="1623"/>
      <c r="I120" s="2926">
        <v>2.5300000000000002E-4</v>
      </c>
      <c r="J120" s="1623"/>
      <c r="K120" s="2926">
        <v>7.3899999999999997E-4</v>
      </c>
      <c r="L120" s="1623"/>
      <c r="M120" s="1623" t="str">
        <f t="shared" si="36"/>
        <v>鈴与商事(株)</v>
      </c>
      <c r="N120" s="1623"/>
      <c r="O120" s="2926">
        <f t="shared" si="37"/>
        <v>4.8799999999999999E-4</v>
      </c>
      <c r="P120" s="1623"/>
      <c r="Q120" s="2926">
        <f t="shared" si="38"/>
        <v>3.48E-4</v>
      </c>
      <c r="R120" s="814"/>
      <c r="S120" s="814"/>
    </row>
    <row r="121" spans="2:19">
      <c r="B121" s="814"/>
      <c r="C121" s="1622"/>
      <c r="D121" s="2925" t="s">
        <v>3377</v>
      </c>
      <c r="E121" s="2925"/>
      <c r="F121" s="2925"/>
      <c r="G121" s="1623"/>
      <c r="H121" s="1623"/>
      <c r="I121" s="2926">
        <v>5.6800000000000004E-4</v>
      </c>
      <c r="J121" s="1623"/>
      <c r="K121" s="2926">
        <v>2.9399999999999999E-4</v>
      </c>
      <c r="L121" s="1623"/>
      <c r="M121" s="1623" t="str">
        <f t="shared" si="36"/>
        <v>泉北天然ガス発電(株)</v>
      </c>
      <c r="N121" s="1623"/>
      <c r="O121" s="2926">
        <f t="shared" si="37"/>
        <v>3.2899999999999997E-4</v>
      </c>
      <c r="P121" s="1623"/>
      <c r="Q121" s="2926">
        <f t="shared" si="38"/>
        <v>3.1E-4</v>
      </c>
      <c r="R121" s="814"/>
      <c r="S121" s="814"/>
    </row>
    <row r="122" spans="2:19">
      <c r="B122" s="814"/>
      <c r="C122" s="1622"/>
      <c r="D122" s="2925" t="s">
        <v>3378</v>
      </c>
      <c r="E122" s="2925"/>
      <c r="F122" s="2925"/>
      <c r="G122" s="1623"/>
      <c r="H122" s="1623"/>
      <c r="I122" s="2926">
        <v>2.5900000000000001E-4</v>
      </c>
      <c r="J122" s="1623"/>
      <c r="K122" s="2926">
        <v>3.4200000000000002E-4</v>
      </c>
      <c r="L122" s="1623"/>
      <c r="M122" s="1623" t="str">
        <f t="shared" si="36"/>
        <v>総合エネルギー(株)</v>
      </c>
      <c r="N122" s="1623"/>
      <c r="O122" s="2926">
        <f t="shared" si="37"/>
        <v>6.3599999999999996E-4</v>
      </c>
      <c r="P122" s="1623"/>
      <c r="Q122" s="2926">
        <f t="shared" si="38"/>
        <v>6.1499999999999999E-4</v>
      </c>
      <c r="R122" s="814"/>
      <c r="S122" s="814"/>
    </row>
    <row r="123" spans="2:19">
      <c r="B123" s="814"/>
      <c r="C123" s="1622"/>
      <c r="D123" s="2925" t="s">
        <v>3379</v>
      </c>
      <c r="E123" s="2925"/>
      <c r="F123" s="2925"/>
      <c r="G123" s="1623"/>
      <c r="H123" s="1623"/>
      <c r="I123" s="2926">
        <v>6.3400000000000001E-4</v>
      </c>
      <c r="J123" s="1623"/>
      <c r="K123" s="2926">
        <v>2.0599999999999999E-4</v>
      </c>
      <c r="L123" s="1623"/>
      <c r="M123" s="1623" t="str">
        <f t="shared" si="36"/>
        <v>大東エナジー(株)</v>
      </c>
      <c r="N123" s="1623"/>
      <c r="O123" s="2926">
        <f t="shared" si="37"/>
        <v>5.6599999999999999E-4</v>
      </c>
      <c r="P123" s="1623"/>
      <c r="Q123" s="2926">
        <f t="shared" si="38"/>
        <v>5.4699999999999996E-4</v>
      </c>
      <c r="R123" s="814"/>
      <c r="S123" s="814"/>
    </row>
    <row r="124" spans="2:19">
      <c r="B124" s="814"/>
      <c r="C124" s="1622"/>
      <c r="D124" s="2925" t="s">
        <v>3380</v>
      </c>
      <c r="E124" s="2925"/>
      <c r="F124" s="2925"/>
      <c r="G124" s="1623"/>
      <c r="H124" s="1623"/>
      <c r="I124" s="2926">
        <v>2.6600000000000001E-4</v>
      </c>
      <c r="J124" s="1623"/>
      <c r="K124" s="2926">
        <v>6.2399999999999999E-4</v>
      </c>
      <c r="L124" s="1623"/>
      <c r="M124" s="1623" t="str">
        <f t="shared" si="36"/>
        <v>ダイヤモンドパワー(株)</v>
      </c>
      <c r="N124" s="1623"/>
      <c r="O124" s="2926">
        <f t="shared" si="37"/>
        <v>3.39E-4</v>
      </c>
      <c r="P124" s="1623"/>
      <c r="Q124" s="2926">
        <f t="shared" si="38"/>
        <v>3.2299999999999999E-4</v>
      </c>
      <c r="R124" s="814"/>
      <c r="S124" s="814"/>
    </row>
    <row r="125" spans="2:19">
      <c r="B125" s="814"/>
      <c r="C125" s="1622"/>
      <c r="D125" s="2925" t="s">
        <v>3381</v>
      </c>
      <c r="E125" s="2925"/>
      <c r="F125" s="2925"/>
      <c r="G125" s="1623"/>
      <c r="H125" s="1623"/>
      <c r="I125" s="2926">
        <v>4.3800000000000002E-4</v>
      </c>
      <c r="J125" s="1623"/>
      <c r="K125" s="2926">
        <v>4.1899999999999999E-4</v>
      </c>
      <c r="L125" s="1623"/>
      <c r="M125" s="1623" t="str">
        <f t="shared" si="36"/>
        <v>大和ハウス工業(株)</v>
      </c>
      <c r="N125" s="1623"/>
      <c r="O125" s="2926">
        <f t="shared" si="37"/>
        <v>5.1900000000000004E-4</v>
      </c>
      <c r="P125" s="1623"/>
      <c r="Q125" s="2926">
        <f t="shared" si="38"/>
        <v>5.0100000000000003E-4</v>
      </c>
      <c r="R125" s="814"/>
      <c r="S125" s="814"/>
    </row>
    <row r="126" spans="2:19">
      <c r="B126" s="814"/>
      <c r="C126" s="1622"/>
      <c r="D126" s="2925" t="s">
        <v>3382</v>
      </c>
      <c r="E126" s="2925"/>
      <c r="F126" s="2925"/>
      <c r="G126" s="1623"/>
      <c r="H126" s="1623"/>
      <c r="I126" s="2926">
        <v>4.9799999999999996E-4</v>
      </c>
      <c r="J126" s="1623"/>
      <c r="K126" s="2926">
        <v>3.9300000000000001E-4</v>
      </c>
      <c r="L126" s="1623"/>
      <c r="M126" s="1623" t="str">
        <f t="shared" si="36"/>
        <v>中央電力エナジー(株)</v>
      </c>
      <c r="N126" s="1623"/>
      <c r="O126" s="2926">
        <f t="shared" si="37"/>
        <v>5.5999999999999995E-4</v>
      </c>
      <c r="P126" s="1623"/>
      <c r="Q126" s="2926">
        <f t="shared" si="38"/>
        <v>5.4100000000000003E-4</v>
      </c>
      <c r="R126" s="814"/>
      <c r="S126" s="814"/>
    </row>
    <row r="127" spans="2:19">
      <c r="B127" s="814"/>
      <c r="C127" s="1622"/>
      <c r="D127" s="2925" t="s">
        <v>3383</v>
      </c>
      <c r="E127" s="2925"/>
      <c r="F127" s="2925"/>
      <c r="G127" s="1623"/>
      <c r="H127" s="1623"/>
      <c r="I127" s="2926">
        <v>5.1099999999999995E-4</v>
      </c>
      <c r="J127" s="1623"/>
      <c r="K127" s="2926">
        <v>4.9399999999999997E-4</v>
      </c>
      <c r="L127" s="1623"/>
      <c r="M127" s="1623" t="str">
        <f t="shared" si="36"/>
        <v>テス・エンジニアリング(株)</v>
      </c>
      <c r="N127" s="1623"/>
      <c r="O127" s="2926">
        <f t="shared" si="37"/>
        <v>5.9900000000000003E-4</v>
      </c>
      <c r="P127" s="1623"/>
      <c r="Q127" s="2926">
        <f t="shared" si="38"/>
        <v>9.2500000000000004E-4</v>
      </c>
      <c r="R127" s="814"/>
      <c r="S127" s="814"/>
    </row>
    <row r="128" spans="2:19">
      <c r="B128" s="814"/>
      <c r="C128" s="1622"/>
      <c r="D128" s="2925" t="s">
        <v>3384</v>
      </c>
      <c r="E128" s="2925"/>
      <c r="F128" s="2925"/>
      <c r="G128" s="1623"/>
      <c r="H128" s="1623"/>
      <c r="I128" s="2926">
        <v>4.3999999999999999E-5</v>
      </c>
      <c r="J128" s="1623"/>
      <c r="K128" s="2926">
        <v>4.1999999999999998E-5</v>
      </c>
      <c r="L128" s="1623"/>
      <c r="M128" s="1623" t="str">
        <f t="shared" si="36"/>
        <v>テプコカスタマーサービス(株)</v>
      </c>
      <c r="N128" s="1623"/>
      <c r="O128" s="2926">
        <f t="shared" si="37"/>
        <v>4.8700000000000002E-4</v>
      </c>
      <c r="P128" s="1623"/>
      <c r="Q128" s="2926">
        <f t="shared" si="38"/>
        <v>3.2699999999999998E-4</v>
      </c>
      <c r="R128" s="814"/>
      <c r="S128" s="814"/>
    </row>
    <row r="129" spans="2:19">
      <c r="B129" s="814"/>
      <c r="C129" s="1622"/>
      <c r="D129" s="2925" t="s">
        <v>3385</v>
      </c>
      <c r="E129" s="2925"/>
      <c r="F129" s="2925"/>
      <c r="G129" s="1623"/>
      <c r="H129" s="1623"/>
      <c r="I129" s="2926">
        <v>1.06E-4</v>
      </c>
      <c r="J129" s="1623"/>
      <c r="K129" s="2926">
        <v>7.4399999999999998E-4</v>
      </c>
      <c r="L129" s="1623"/>
      <c r="M129" s="1623" t="str">
        <f t="shared" si="36"/>
        <v>東京エコサービス(株)</v>
      </c>
      <c r="N129" s="1623"/>
      <c r="O129" s="2926">
        <f t="shared" si="37"/>
        <v>7.1000000000000005E-5</v>
      </c>
      <c r="P129" s="1623"/>
      <c r="Q129" s="2926">
        <f t="shared" si="38"/>
        <v>1.4899999999999999E-4</v>
      </c>
      <c r="R129" s="814"/>
      <c r="S129" s="814"/>
    </row>
    <row r="130" spans="2:19">
      <c r="B130" s="814"/>
      <c r="C130" s="1622"/>
      <c r="D130" s="2925" t="s">
        <v>3386</v>
      </c>
      <c r="E130" s="2925"/>
      <c r="F130" s="2925"/>
      <c r="G130" s="1623"/>
      <c r="H130" s="1623"/>
      <c r="I130" s="2926">
        <v>4.6200000000000001E-4</v>
      </c>
      <c r="J130" s="1623"/>
      <c r="K130" s="2926">
        <v>4.4700000000000002E-4</v>
      </c>
      <c r="L130" s="1623"/>
      <c r="M130" s="1623" t="str">
        <f t="shared" si="36"/>
        <v>にちほクラウド電力(株)</v>
      </c>
      <c r="N130" s="1623"/>
      <c r="O130" s="2926">
        <f t="shared" si="37"/>
        <v>5.3899999999999998E-4</v>
      </c>
      <c r="P130" s="1623"/>
      <c r="Q130" s="2926">
        <f t="shared" si="38"/>
        <v>5.2099999999999998E-4</v>
      </c>
      <c r="R130" s="814"/>
      <c r="S130" s="814"/>
    </row>
    <row r="131" spans="2:19">
      <c r="B131" s="814"/>
      <c r="C131" s="1622"/>
      <c r="D131" s="2925" t="s">
        <v>3387</v>
      </c>
      <c r="E131" s="2925"/>
      <c r="F131" s="2925"/>
      <c r="G131" s="1623"/>
      <c r="H131" s="1623"/>
      <c r="I131" s="2926">
        <v>4.15E-4</v>
      </c>
      <c r="J131" s="1623"/>
      <c r="K131" s="2926">
        <v>5.53E-4</v>
      </c>
      <c r="L131" s="1623"/>
      <c r="M131" s="1623" t="str">
        <f t="shared" si="36"/>
        <v>日産トレーデイング(株)</v>
      </c>
      <c r="N131" s="1623"/>
      <c r="O131" s="2926">
        <f t="shared" si="37"/>
        <v>3.6499999999999998E-4</v>
      </c>
      <c r="P131" s="1623"/>
      <c r="Q131" s="2926">
        <f t="shared" si="38"/>
        <v>4.0999999999999999E-4</v>
      </c>
      <c r="R131" s="814"/>
      <c r="S131" s="814"/>
    </row>
    <row r="132" spans="2:19">
      <c r="B132" s="814"/>
      <c r="C132" s="1622"/>
      <c r="D132" s="2925" t="s">
        <v>3388</v>
      </c>
      <c r="E132" s="2925"/>
      <c r="F132" s="2925"/>
      <c r="G132" s="1623"/>
      <c r="H132" s="1623"/>
      <c r="I132" s="2926">
        <v>4.5399999999999998E-4</v>
      </c>
      <c r="J132" s="1623"/>
      <c r="K132" s="2926">
        <v>4.6200000000000001E-4</v>
      </c>
      <c r="L132" s="1623"/>
      <c r="M132" s="1623" t="str">
        <f t="shared" si="36"/>
        <v>日本アルファ電力(株)</v>
      </c>
      <c r="N132" s="1623"/>
      <c r="O132" s="2926">
        <f t="shared" si="37"/>
        <v>0</v>
      </c>
      <c r="P132" s="1623"/>
      <c r="Q132" s="2926">
        <f t="shared" si="38"/>
        <v>1.4790000000000001E-3</v>
      </c>
      <c r="R132" s="814"/>
      <c r="S132" s="814"/>
    </row>
    <row r="133" spans="2:19">
      <c r="B133" s="814"/>
      <c r="C133" s="1622"/>
      <c r="D133" s="2925" t="s">
        <v>3389</v>
      </c>
      <c r="E133" s="2925"/>
      <c r="F133" s="2925"/>
      <c r="G133" s="1623"/>
      <c r="H133" s="1623"/>
      <c r="I133" s="2926">
        <v>4.5399999999999998E-4</v>
      </c>
      <c r="J133" s="1623"/>
      <c r="K133" s="2926">
        <v>3.9800000000000002E-4</v>
      </c>
      <c r="L133" s="1623"/>
      <c r="M133" s="1623" t="str">
        <f t="shared" si="36"/>
        <v>日本テクノ(株)</v>
      </c>
      <c r="N133" s="1623"/>
      <c r="O133" s="2926">
        <f t="shared" si="37"/>
        <v>5.3200000000000003E-4</v>
      </c>
      <c r="P133" s="1623"/>
      <c r="Q133" s="2926">
        <f t="shared" si="38"/>
        <v>5.8799999999999998E-4</v>
      </c>
      <c r="R133" s="814"/>
      <c r="S133" s="814"/>
    </row>
    <row r="134" spans="2:19">
      <c r="B134" s="814"/>
      <c r="C134" s="1622"/>
      <c r="D134" s="2925" t="s">
        <v>3390</v>
      </c>
      <c r="E134" s="2925"/>
      <c r="F134" s="2925"/>
      <c r="G134" s="1623"/>
      <c r="H134" s="1623"/>
      <c r="I134" s="2926">
        <v>5.4100000000000003E-4</v>
      </c>
      <c r="J134" s="1623"/>
      <c r="K134" s="2926">
        <v>5.2800000000000004E-4</v>
      </c>
      <c r="L134" s="1623"/>
      <c r="M134" s="1623" t="str">
        <f t="shared" si="36"/>
        <v>日本ロジテック協同組合</v>
      </c>
      <c r="N134" s="1623"/>
      <c r="O134" s="2926">
        <f t="shared" si="37"/>
        <v>3.86E-4</v>
      </c>
      <c r="P134" s="1623"/>
      <c r="Q134" s="2926">
        <f t="shared" si="38"/>
        <v>5.5199999999999997E-4</v>
      </c>
      <c r="R134" s="814"/>
      <c r="S134" s="814"/>
    </row>
    <row r="135" spans="2:19">
      <c r="B135" s="814"/>
      <c r="C135" s="1622"/>
      <c r="D135" s="2925" t="s">
        <v>3391</v>
      </c>
      <c r="E135" s="2925"/>
      <c r="F135" s="2925"/>
      <c r="G135" s="1623"/>
      <c r="H135" s="1623"/>
      <c r="I135" s="2926">
        <v>4.9200000000000003E-4</v>
      </c>
      <c r="J135" s="1623"/>
      <c r="K135" s="2926">
        <v>4.75E-4</v>
      </c>
      <c r="L135" s="1623"/>
      <c r="M135" s="1623" t="str">
        <f t="shared" si="36"/>
        <v>パナソニック(株)</v>
      </c>
      <c r="N135" s="1623"/>
      <c r="O135" s="2926">
        <f t="shared" si="37"/>
        <v>6.2200000000000005E-4</v>
      </c>
      <c r="P135" s="1623"/>
      <c r="Q135" s="2926">
        <f t="shared" si="38"/>
        <v>6.11E-4</v>
      </c>
      <c r="R135" s="814"/>
      <c r="S135" s="814"/>
    </row>
    <row r="136" spans="2:19">
      <c r="B136" s="814"/>
      <c r="C136" s="1622"/>
      <c r="D136" s="2925" t="s">
        <v>3392</v>
      </c>
      <c r="E136" s="2925"/>
      <c r="F136" s="2925"/>
      <c r="G136" s="1623"/>
      <c r="H136" s="1623"/>
      <c r="I136" s="2926">
        <v>4.7199999999999998E-4</v>
      </c>
      <c r="J136" s="1623"/>
      <c r="K136" s="2926">
        <v>5.6800000000000004E-4</v>
      </c>
      <c r="L136" s="1623"/>
      <c r="M136" s="1623" t="str">
        <f t="shared" si="36"/>
        <v>プレミアムグリーンパワー(株)</v>
      </c>
      <c r="N136" s="1623"/>
      <c r="O136" s="2926">
        <f t="shared" si="37"/>
        <v>1.1E-5</v>
      </c>
      <c r="P136" s="1623"/>
      <c r="Q136" s="2926">
        <f t="shared" si="38"/>
        <v>2.6499999999999999E-4</v>
      </c>
      <c r="R136" s="814"/>
      <c r="S136" s="814"/>
    </row>
    <row r="137" spans="2:19">
      <c r="B137" s="814"/>
      <c r="C137" s="1622"/>
      <c r="D137" s="2925" t="s">
        <v>3393</v>
      </c>
      <c r="E137" s="2925"/>
      <c r="F137" s="2925"/>
      <c r="G137" s="1623"/>
      <c r="H137" s="1623"/>
      <c r="I137" s="2926">
        <v>1.5300000000000001E-4</v>
      </c>
      <c r="J137" s="1623"/>
      <c r="K137" s="2926">
        <v>5.9800000000000001E-4</v>
      </c>
      <c r="L137" s="1623"/>
      <c r="M137" s="1623" t="str">
        <f t="shared" si="36"/>
        <v>本田技研工業(株)</v>
      </c>
      <c r="N137" s="1623"/>
      <c r="O137" s="2926">
        <f t="shared" si="37"/>
        <v>5.8E-4</v>
      </c>
      <c r="P137" s="1623"/>
      <c r="Q137" s="2926">
        <f t="shared" si="38"/>
        <v>5.5999999999999995E-4</v>
      </c>
      <c r="R137" s="814"/>
      <c r="S137" s="814"/>
    </row>
    <row r="138" spans="2:19">
      <c r="B138" s="814"/>
      <c r="C138" s="1622"/>
      <c r="D138" s="2925" t="s">
        <v>3394</v>
      </c>
      <c r="E138" s="2925"/>
      <c r="F138" s="2925"/>
      <c r="G138" s="1623"/>
      <c r="H138" s="1623"/>
      <c r="I138" s="2926">
        <v>3.48E-4</v>
      </c>
      <c r="J138" s="1623"/>
      <c r="K138" s="2926">
        <v>4.6799999999999999E-4</v>
      </c>
      <c r="L138" s="1623"/>
      <c r="M138" s="1623" t="str">
        <f t="shared" si="36"/>
        <v>丸紅(株)</v>
      </c>
      <c r="N138" s="1623"/>
      <c r="O138" s="2926">
        <f t="shared" si="37"/>
        <v>4.8200000000000001E-4</v>
      </c>
      <c r="P138" s="1623"/>
      <c r="Q138" s="2926">
        <f t="shared" si="38"/>
        <v>4.8700000000000002E-4</v>
      </c>
      <c r="R138" s="814"/>
      <c r="S138" s="814"/>
    </row>
    <row r="139" spans="2:19">
      <c r="B139" s="814"/>
      <c r="C139" s="1622"/>
      <c r="D139" s="2925" t="s">
        <v>3395</v>
      </c>
      <c r="E139" s="2925"/>
      <c r="F139" s="2925"/>
      <c r="G139" s="1623"/>
      <c r="H139" s="1623"/>
      <c r="I139" s="2926">
        <v>3.7300000000000001E-4</v>
      </c>
      <c r="J139" s="1623"/>
      <c r="K139" s="2926">
        <v>3.6000000000000002E-4</v>
      </c>
      <c r="L139" s="1623"/>
      <c r="M139" s="1623" t="str">
        <f t="shared" si="36"/>
        <v>ミサワホーム(株)</v>
      </c>
      <c r="N139" s="1623"/>
      <c r="O139" s="2926">
        <f t="shared" si="37"/>
        <v>3.1100000000000002E-4</v>
      </c>
      <c r="P139" s="1623"/>
      <c r="Q139" s="2926">
        <f t="shared" si="38"/>
        <v>3.01E-4</v>
      </c>
      <c r="R139" s="814"/>
      <c r="S139" s="814"/>
    </row>
    <row r="140" spans="2:19">
      <c r="B140" s="814"/>
      <c r="C140" s="1622"/>
      <c r="D140" s="2925" t="s">
        <v>3396</v>
      </c>
      <c r="E140" s="2925"/>
      <c r="F140" s="2925"/>
      <c r="G140" s="1623"/>
      <c r="H140" s="1623"/>
      <c r="I140" s="2926">
        <v>9.0000000000000002E-6</v>
      </c>
      <c r="J140" s="1623"/>
      <c r="K140" s="2926">
        <v>9.0000000000000002E-6</v>
      </c>
      <c r="L140" s="1623"/>
      <c r="M140" s="1623" t="str">
        <f t="shared" si="36"/>
        <v>三井物産(株)</v>
      </c>
      <c r="N140" s="1623"/>
      <c r="O140" s="2926">
        <f t="shared" si="37"/>
        <v>0</v>
      </c>
      <c r="P140" s="1623"/>
      <c r="Q140" s="2926">
        <f t="shared" si="38"/>
        <v>0</v>
      </c>
      <c r="R140" s="814"/>
      <c r="S140" s="814"/>
    </row>
    <row r="141" spans="2:19">
      <c r="B141" s="814"/>
      <c r="C141" s="1622"/>
      <c r="D141" s="2925" t="s">
        <v>3397</v>
      </c>
      <c r="E141" s="2925"/>
      <c r="F141" s="2925"/>
      <c r="G141" s="1623"/>
      <c r="H141" s="1623"/>
      <c r="I141" s="2926">
        <v>5.3700000000000004E-4</v>
      </c>
      <c r="J141" s="1623"/>
      <c r="K141" s="2926">
        <v>5.2400000000000005E-4</v>
      </c>
      <c r="L141" s="1623"/>
      <c r="M141" s="1623" t="str">
        <f t="shared" si="36"/>
        <v>ミツウロコグリーンエネルギー(株)</v>
      </c>
      <c r="N141" s="1623"/>
      <c r="O141" s="2926">
        <f t="shared" si="37"/>
        <v>4.66E-4</v>
      </c>
      <c r="P141" s="1623"/>
      <c r="Q141" s="2926">
        <f t="shared" si="38"/>
        <v>4.9799999999999996E-4</v>
      </c>
      <c r="R141" s="814"/>
      <c r="S141" s="814"/>
    </row>
    <row r="142" spans="2:19">
      <c r="B142" s="814"/>
      <c r="C142" s="1622"/>
      <c r="D142" s="2925" t="s">
        <v>3398</v>
      </c>
      <c r="E142" s="2925"/>
      <c r="F142" s="2925"/>
      <c r="G142" s="1623"/>
      <c r="H142" s="1623"/>
      <c r="I142" s="2926">
        <v>1.7000000000000001E-4</v>
      </c>
      <c r="J142" s="1623"/>
      <c r="K142" s="2926">
        <v>0</v>
      </c>
      <c r="L142" s="1623"/>
      <c r="M142" s="1623" t="str">
        <f t="shared" si="36"/>
        <v>リエスパワー(株)</v>
      </c>
      <c r="N142" s="1623"/>
      <c r="O142" s="2926">
        <f t="shared" si="37"/>
        <v>5.8200000000000005E-4</v>
      </c>
      <c r="P142" s="1623"/>
      <c r="Q142" s="2926">
        <f t="shared" si="38"/>
        <v>0</v>
      </c>
      <c r="R142" s="814"/>
      <c r="S142" s="814"/>
    </row>
    <row r="143" spans="2:19" s="2445" customFormat="1">
      <c r="B143" s="814"/>
      <c r="C143" s="1622"/>
      <c r="D143" s="2925" t="s">
        <v>3399</v>
      </c>
      <c r="E143" s="2925"/>
      <c r="F143" s="2925"/>
      <c r="G143" s="1623"/>
      <c r="H143" s="1623"/>
      <c r="I143" s="2926">
        <v>4.8700000000000002E-4</v>
      </c>
      <c r="J143" s="1623"/>
      <c r="K143" s="2926">
        <v>7.2800000000000002E-4</v>
      </c>
      <c r="L143" s="1623"/>
      <c r="M143" s="1623" t="str">
        <f t="shared" si="36"/>
        <v>ワタミファーム＆エナジー(株)</v>
      </c>
      <c r="N143" s="1623"/>
      <c r="O143" s="2926">
        <f t="shared" si="37"/>
        <v>4.5399999999999998E-4</v>
      </c>
      <c r="P143" s="1623"/>
      <c r="Q143" s="2926">
        <f t="shared" si="38"/>
        <v>4.3899999999999999E-4</v>
      </c>
      <c r="R143" s="814"/>
      <c r="S143" s="814"/>
    </row>
    <row r="144" spans="2:19" s="2445" customFormat="1" hidden="1">
      <c r="B144" s="814"/>
      <c r="C144" s="1622"/>
      <c r="D144" s="2925" t="s">
        <v>3400</v>
      </c>
      <c r="E144" s="2925"/>
      <c r="F144" s="2925"/>
      <c r="G144" s="1623"/>
      <c r="H144" s="1623"/>
      <c r="I144" s="2926">
        <v>4.9200000000000003E-4</v>
      </c>
      <c r="J144" s="1623"/>
      <c r="K144" s="1680">
        <v>4.7699999999999999E-4</v>
      </c>
      <c r="L144" s="1623"/>
      <c r="M144" s="1623"/>
      <c r="N144" s="1623"/>
      <c r="O144" s="1623"/>
      <c r="P144" s="1623"/>
      <c r="Q144" s="1623"/>
      <c r="R144" s="814"/>
      <c r="S144" s="814"/>
    </row>
    <row r="145" spans="2:19" s="2445" customFormat="1" hidden="1">
      <c r="B145" s="814"/>
      <c r="C145" s="1622"/>
      <c r="D145" s="2925" t="s">
        <v>3401</v>
      </c>
      <c r="E145" s="2925"/>
      <c r="F145" s="2925"/>
      <c r="G145" s="1623"/>
      <c r="H145" s="1623"/>
      <c r="I145" s="2926">
        <v>4.95E-4</v>
      </c>
      <c r="J145" s="1623"/>
      <c r="K145" s="1680">
        <v>4.7899999999999999E-4</v>
      </c>
      <c r="L145" s="1623"/>
      <c r="M145" s="1623"/>
      <c r="N145" s="1623"/>
      <c r="O145" s="1623"/>
      <c r="P145" s="1623"/>
      <c r="Q145" s="1623"/>
      <c r="R145" s="814"/>
      <c r="S145" s="814"/>
    </row>
    <row r="146" spans="2:19" s="2445" customFormat="1" hidden="1">
      <c r="B146" s="814"/>
      <c r="C146" s="1622"/>
      <c r="D146" s="2925" t="s">
        <v>3402</v>
      </c>
      <c r="E146" s="2925"/>
      <c r="F146" s="2925"/>
      <c r="G146" s="1623"/>
      <c r="H146" s="1623"/>
      <c r="I146" s="2926">
        <v>6.02E-4</v>
      </c>
      <c r="J146" s="1623"/>
      <c r="K146" s="1680">
        <v>6.0099999999999997E-4</v>
      </c>
      <c r="L146" s="1623"/>
      <c r="M146" s="1623"/>
      <c r="N146" s="1623"/>
      <c r="O146" s="1623"/>
      <c r="P146" s="1623"/>
      <c r="Q146" s="1623"/>
      <c r="R146" s="814"/>
      <c r="S146" s="814"/>
    </row>
    <row r="147" spans="2:19" s="2445" customFormat="1" hidden="1">
      <c r="B147" s="814"/>
      <c r="C147" s="1622"/>
      <c r="D147" s="2925" t="s">
        <v>3403</v>
      </c>
      <c r="E147" s="2925"/>
      <c r="F147" s="2925"/>
      <c r="G147" s="1623"/>
      <c r="H147" s="1623"/>
      <c r="I147" s="2926">
        <v>6.0999999999999997E-4</v>
      </c>
      <c r="J147" s="1623"/>
      <c r="K147" s="1680">
        <v>6.96E-4</v>
      </c>
      <c r="L147" s="1623"/>
      <c r="R147" s="814"/>
      <c r="S147" s="814"/>
    </row>
    <row r="148" spans="2:19" s="2445" customFormat="1" hidden="1">
      <c r="B148" s="814"/>
      <c r="C148" s="1622"/>
      <c r="D148" s="2925" t="s">
        <v>3404</v>
      </c>
      <c r="E148" s="2925"/>
      <c r="F148" s="2925"/>
      <c r="G148" s="1623"/>
      <c r="H148" s="1623"/>
      <c r="I148" s="2926">
        <v>2.5399999999999999E-4</v>
      </c>
      <c r="J148" s="1623"/>
      <c r="K148" s="1680">
        <v>5.6099999999999998E-4</v>
      </c>
      <c r="L148" s="1623"/>
      <c r="R148" s="814"/>
      <c r="S148" s="814"/>
    </row>
    <row r="149" spans="2:19" s="2445" customFormat="1" hidden="1">
      <c r="B149" s="814"/>
      <c r="C149" s="1622"/>
      <c r="D149" s="2925" t="s">
        <v>3405</v>
      </c>
      <c r="E149" s="2925"/>
      <c r="F149" s="2925"/>
      <c r="G149" s="1623"/>
      <c r="H149" s="1623"/>
      <c r="I149" s="2926">
        <v>1.9000000000000001E-4</v>
      </c>
      <c r="J149" s="1623"/>
      <c r="K149" s="1680">
        <v>6.9899999999999997E-4</v>
      </c>
      <c r="L149" s="1623"/>
      <c r="R149" s="814"/>
      <c r="S149" s="814"/>
    </row>
    <row r="150" spans="2:19" s="2445" customFormat="1" hidden="1">
      <c r="B150" s="814"/>
      <c r="C150" s="1622"/>
      <c r="D150" s="2925" t="s">
        <v>3406</v>
      </c>
      <c r="E150" s="2925"/>
      <c r="F150" s="2925"/>
      <c r="G150" s="1623"/>
      <c r="H150" s="1623"/>
      <c r="I150" s="2926">
        <v>5.8100000000000003E-4</v>
      </c>
      <c r="J150" s="1623"/>
      <c r="K150" s="1680">
        <v>5.62E-4</v>
      </c>
      <c r="L150" s="1623"/>
      <c r="R150" s="814"/>
      <c r="S150" s="814"/>
    </row>
    <row r="151" spans="2:19" s="2445" customFormat="1" hidden="1">
      <c r="B151" s="814"/>
      <c r="C151" s="1622"/>
      <c r="D151" s="2925" t="s">
        <v>3407</v>
      </c>
      <c r="E151" s="2925"/>
      <c r="F151" s="2925"/>
      <c r="G151" s="1623"/>
      <c r="H151" s="1623"/>
      <c r="I151" s="2926">
        <v>4.9399999999999997E-4</v>
      </c>
      <c r="J151" s="1623"/>
      <c r="K151" s="1680">
        <v>4.7800000000000002E-4</v>
      </c>
      <c r="L151" s="1623"/>
      <c r="R151" s="814"/>
      <c r="S151" s="814"/>
    </row>
    <row r="152" spans="2:19" s="2445" customFormat="1" hidden="1">
      <c r="B152" s="814"/>
      <c r="C152" s="1622"/>
      <c r="D152" s="2925" t="s">
        <v>3408</v>
      </c>
      <c r="E152" s="2925"/>
      <c r="F152" s="2925"/>
      <c r="G152" s="1623"/>
      <c r="H152" s="1623"/>
      <c r="I152" s="2926">
        <v>4.1300000000000001E-4</v>
      </c>
      <c r="J152" s="1623"/>
      <c r="K152" s="1680">
        <v>5.0299999999999997E-4</v>
      </c>
      <c r="L152" s="1623"/>
      <c r="R152" s="814"/>
      <c r="S152" s="814"/>
    </row>
    <row r="153" spans="2:19" s="2445" customFormat="1" hidden="1">
      <c r="B153" s="814"/>
      <c r="C153" s="1622"/>
      <c r="D153" s="2925" t="s">
        <v>3409</v>
      </c>
      <c r="E153" s="2925"/>
      <c r="F153" s="2925"/>
      <c r="G153" s="1623"/>
      <c r="H153" s="1623"/>
      <c r="I153" s="2926">
        <v>3.2499999999999999E-4</v>
      </c>
      <c r="J153" s="1623"/>
      <c r="K153" s="1680">
        <v>3.0600000000000001E-4</v>
      </c>
      <c r="L153" s="1623"/>
      <c r="R153" s="814"/>
      <c r="S153" s="814"/>
    </row>
    <row r="154" spans="2:19" s="2445" customFormat="1" hidden="1">
      <c r="B154" s="814"/>
      <c r="C154" s="1622"/>
      <c r="D154" s="2925" t="s">
        <v>3410</v>
      </c>
      <c r="E154" s="2925"/>
      <c r="F154" s="2925"/>
      <c r="G154" s="1623"/>
      <c r="H154" s="1623"/>
      <c r="I154" s="2926">
        <v>5.53E-4</v>
      </c>
      <c r="J154" s="1623"/>
      <c r="K154" s="1680">
        <v>5.3399999999999997E-4</v>
      </c>
      <c r="L154" s="1623"/>
      <c r="R154" s="814"/>
      <c r="S154" s="814"/>
    </row>
    <row r="155" spans="2:19" s="2445" customFormat="1" hidden="1">
      <c r="B155" s="814"/>
      <c r="C155" s="1622"/>
      <c r="D155" s="2925" t="s">
        <v>3411</v>
      </c>
      <c r="E155" s="2925"/>
      <c r="F155" s="2925"/>
      <c r="G155" s="1623"/>
      <c r="H155" s="1623"/>
      <c r="I155" s="2926">
        <v>3.6000000000000001E-5</v>
      </c>
      <c r="J155" s="1623"/>
      <c r="K155" s="1680">
        <v>5.7600000000000001E-4</v>
      </c>
      <c r="L155" s="1623"/>
      <c r="R155" s="814"/>
      <c r="S155" s="814"/>
    </row>
    <row r="156" spans="2:19" s="2445" customFormat="1" hidden="1">
      <c r="B156" s="814"/>
      <c r="C156" s="1622"/>
      <c r="D156" s="2925" t="s">
        <v>3412</v>
      </c>
      <c r="E156" s="2925"/>
      <c r="F156" s="2925"/>
      <c r="G156" s="1623"/>
      <c r="H156" s="1623"/>
      <c r="I156" s="2926">
        <v>4.1599999999999997E-4</v>
      </c>
      <c r="J156" s="1623"/>
      <c r="K156" s="1680">
        <v>5.6300000000000002E-4</v>
      </c>
      <c r="L156" s="1623"/>
      <c r="R156" s="814"/>
      <c r="S156" s="814"/>
    </row>
    <row r="157" spans="2:19" s="2445" customFormat="1" hidden="1">
      <c r="B157" s="814"/>
      <c r="C157" s="1622"/>
      <c r="D157" s="2925" t="s">
        <v>3413</v>
      </c>
      <c r="E157" s="2925"/>
      <c r="F157" s="2925"/>
      <c r="G157" s="1623"/>
      <c r="H157" s="1623"/>
      <c r="I157" s="2926">
        <v>3.7199999999999999E-4</v>
      </c>
      <c r="J157" s="1623"/>
      <c r="K157" s="1680">
        <v>3.5300000000000002E-4</v>
      </c>
      <c r="L157" s="1623"/>
      <c r="R157" s="814"/>
      <c r="S157" s="814"/>
    </row>
    <row r="158" spans="2:19" s="2445" customFormat="1" hidden="1">
      <c r="B158" s="814"/>
      <c r="C158" s="1622"/>
      <c r="D158" s="2925" t="s">
        <v>3414</v>
      </c>
      <c r="E158" s="2925"/>
      <c r="F158" s="2925"/>
      <c r="G158" s="1623"/>
      <c r="H158" s="1623"/>
      <c r="I158" s="2926">
        <v>5.5999999999999995E-4</v>
      </c>
      <c r="J158" s="1623"/>
      <c r="K158" s="1680">
        <v>5.6999999999999998E-4</v>
      </c>
      <c r="L158" s="1623"/>
      <c r="R158" s="814"/>
      <c r="S158" s="814"/>
    </row>
    <row r="159" spans="2:19" s="2445" customFormat="1" hidden="1">
      <c r="B159" s="814"/>
      <c r="C159" s="1622"/>
      <c r="D159" s="2925" t="s">
        <v>3415</v>
      </c>
      <c r="E159" s="2925"/>
      <c r="F159" s="2925"/>
      <c r="G159" s="1623"/>
      <c r="H159" s="1623"/>
      <c r="I159" s="2926">
        <v>4.8799999999999999E-4</v>
      </c>
      <c r="J159" s="1623"/>
      <c r="K159" s="1680">
        <v>3.48E-4</v>
      </c>
      <c r="L159" s="1623"/>
      <c r="R159" s="814"/>
      <c r="S159" s="814"/>
    </row>
    <row r="160" spans="2:19" s="2445" customFormat="1" hidden="1">
      <c r="B160" s="814"/>
      <c r="C160" s="1622"/>
      <c r="D160" s="2925" t="s">
        <v>3416</v>
      </c>
      <c r="E160" s="2925"/>
      <c r="F160" s="2925"/>
      <c r="G160" s="1623"/>
      <c r="H160" s="1623"/>
      <c r="I160" s="2926">
        <v>3.2899999999999997E-4</v>
      </c>
      <c r="J160" s="1623"/>
      <c r="K160" s="1680">
        <v>3.1E-4</v>
      </c>
      <c r="L160" s="1623"/>
      <c r="R160" s="814"/>
      <c r="S160" s="814"/>
    </row>
    <row r="161" spans="2:19" s="2445" customFormat="1" hidden="1">
      <c r="B161" s="814"/>
      <c r="C161" s="1622"/>
      <c r="D161" s="2925" t="s">
        <v>3417</v>
      </c>
      <c r="E161" s="2925"/>
      <c r="F161" s="2925"/>
      <c r="G161" s="1623"/>
      <c r="H161" s="1623"/>
      <c r="I161" s="2926">
        <v>6.3599999999999996E-4</v>
      </c>
      <c r="J161" s="1623"/>
      <c r="K161" s="1680">
        <v>6.1499999999999999E-4</v>
      </c>
      <c r="L161" s="1623"/>
      <c r="R161" s="814"/>
      <c r="S161" s="814"/>
    </row>
    <row r="162" spans="2:19" s="2445" customFormat="1" hidden="1">
      <c r="B162" s="814"/>
      <c r="C162" s="1622"/>
      <c r="D162" s="2925" t="s">
        <v>3418</v>
      </c>
      <c r="E162" s="2925"/>
      <c r="F162" s="2925"/>
      <c r="G162" s="1623"/>
      <c r="H162" s="1623"/>
      <c r="I162" s="2926">
        <v>5.6599999999999999E-4</v>
      </c>
      <c r="J162" s="1623"/>
      <c r="K162" s="1680">
        <v>5.4699999999999996E-4</v>
      </c>
      <c r="L162" s="1623"/>
      <c r="R162" s="814"/>
      <c r="S162" s="814"/>
    </row>
    <row r="163" spans="2:19" s="2445" customFormat="1" hidden="1">
      <c r="B163" s="814"/>
      <c r="C163" s="1622"/>
      <c r="D163" s="2925" t="s">
        <v>3419</v>
      </c>
      <c r="E163" s="2925"/>
      <c r="F163" s="2925"/>
      <c r="G163" s="1623"/>
      <c r="H163" s="1623"/>
      <c r="I163" s="2926">
        <v>3.39E-4</v>
      </c>
      <c r="J163" s="1623"/>
      <c r="K163" s="1680">
        <v>3.2299999999999999E-4</v>
      </c>
      <c r="L163" s="1623"/>
      <c r="R163" s="814"/>
      <c r="S163" s="814"/>
    </row>
    <row r="164" spans="2:19" s="2445" customFormat="1" hidden="1">
      <c r="B164" s="814"/>
      <c r="C164" s="1622"/>
      <c r="D164" s="2925" t="s">
        <v>3420</v>
      </c>
      <c r="E164" s="2925"/>
      <c r="F164" s="2925"/>
      <c r="G164" s="1623"/>
      <c r="H164" s="1623"/>
      <c r="I164" s="2926">
        <v>5.1900000000000004E-4</v>
      </c>
      <c r="J164" s="1623"/>
      <c r="K164" s="1680">
        <v>5.0100000000000003E-4</v>
      </c>
      <c r="L164" s="1623"/>
      <c r="R164" s="814"/>
      <c r="S164" s="814"/>
    </row>
    <row r="165" spans="2:19" s="2445" customFormat="1" hidden="1">
      <c r="B165" s="814"/>
      <c r="C165" s="1622"/>
      <c r="D165" s="2925" t="s">
        <v>3421</v>
      </c>
      <c r="E165" s="2925"/>
      <c r="F165" s="2925"/>
      <c r="G165" s="1623"/>
      <c r="H165" s="1623"/>
      <c r="I165" s="2926">
        <v>5.5999999999999995E-4</v>
      </c>
      <c r="J165" s="1623"/>
      <c r="K165" s="1680">
        <v>5.4100000000000003E-4</v>
      </c>
      <c r="L165" s="1623"/>
      <c r="M165" s="1623"/>
      <c r="N165" s="1623"/>
      <c r="O165" s="1623"/>
      <c r="P165" s="1623"/>
      <c r="Q165" s="1623"/>
      <c r="R165" s="814"/>
      <c r="S165" s="814"/>
    </row>
    <row r="166" spans="2:19" s="2445" customFormat="1" hidden="1">
      <c r="B166" s="814"/>
      <c r="C166" s="1622"/>
      <c r="D166" s="2925" t="s">
        <v>3422</v>
      </c>
      <c r="E166" s="2925"/>
      <c r="F166" s="2925"/>
      <c r="G166" s="1623"/>
      <c r="H166" s="1623"/>
      <c r="I166" s="2926">
        <v>5.9900000000000003E-4</v>
      </c>
      <c r="J166" s="1623"/>
      <c r="K166" s="1680">
        <v>9.2500000000000004E-4</v>
      </c>
      <c r="L166" s="1623"/>
      <c r="M166" s="1623"/>
      <c r="N166" s="1623"/>
      <c r="O166" s="1623"/>
      <c r="P166" s="1623"/>
      <c r="Q166" s="1623"/>
      <c r="R166" s="814"/>
      <c r="S166" s="814"/>
    </row>
    <row r="167" spans="2:19" s="2445" customFormat="1" hidden="1">
      <c r="B167" s="814"/>
      <c r="C167" s="1622"/>
      <c r="D167" s="2925" t="s">
        <v>3423</v>
      </c>
      <c r="E167" s="2925"/>
      <c r="F167" s="2925"/>
      <c r="G167" s="1623"/>
      <c r="H167" s="1623"/>
      <c r="I167" s="2926">
        <v>4.8700000000000002E-4</v>
      </c>
      <c r="J167" s="1623"/>
      <c r="K167" s="1680">
        <v>3.2699999999999998E-4</v>
      </c>
      <c r="L167" s="1623"/>
      <c r="M167" s="1623"/>
      <c r="N167" s="1623"/>
      <c r="O167" s="1623"/>
      <c r="P167" s="1623"/>
      <c r="Q167" s="1623"/>
      <c r="R167" s="814"/>
      <c r="S167" s="814"/>
    </row>
    <row r="168" spans="2:19" s="2445" customFormat="1" hidden="1">
      <c r="B168" s="814"/>
      <c r="C168" s="1622"/>
      <c r="D168" s="2925" t="s">
        <v>3424</v>
      </c>
      <c r="E168" s="2925"/>
      <c r="F168" s="2925"/>
      <c r="G168" s="1623"/>
      <c r="H168" s="1623"/>
      <c r="I168" s="2926">
        <v>7.1000000000000005E-5</v>
      </c>
      <c r="J168" s="1623"/>
      <c r="K168" s="1680">
        <v>1.4899999999999999E-4</v>
      </c>
      <c r="L168" s="1623"/>
      <c r="M168" s="1623"/>
      <c r="N168" s="1623"/>
      <c r="O168" s="1623"/>
      <c r="P168" s="1623"/>
      <c r="Q168" s="1623"/>
      <c r="R168" s="814"/>
      <c r="S168" s="814"/>
    </row>
    <row r="169" spans="2:19" s="2445" customFormat="1" hidden="1">
      <c r="B169" s="814"/>
      <c r="C169" s="1622"/>
      <c r="D169" s="2925" t="s">
        <v>3425</v>
      </c>
      <c r="E169" s="2925"/>
      <c r="F169" s="2925"/>
      <c r="G169" s="1623"/>
      <c r="H169" s="1623"/>
      <c r="I169" s="2926">
        <v>5.3899999999999998E-4</v>
      </c>
      <c r="J169" s="1623"/>
      <c r="K169" s="1680">
        <v>5.2099999999999998E-4</v>
      </c>
      <c r="L169" s="1623"/>
      <c r="M169" s="1623"/>
      <c r="N169" s="1623"/>
      <c r="O169" s="1623"/>
      <c r="P169" s="1623"/>
      <c r="Q169" s="1623"/>
      <c r="R169" s="814"/>
      <c r="S169" s="814"/>
    </row>
    <row r="170" spans="2:19" s="2445" customFormat="1" hidden="1">
      <c r="B170" s="814"/>
      <c r="C170" s="1622"/>
      <c r="D170" s="2925" t="s">
        <v>3426</v>
      </c>
      <c r="E170" s="2925"/>
      <c r="F170" s="2925"/>
      <c r="G170" s="1623"/>
      <c r="H170" s="1623"/>
      <c r="I170" s="2926">
        <v>3.6499999999999998E-4</v>
      </c>
      <c r="J170" s="1623"/>
      <c r="K170" s="1680">
        <v>4.0999999999999999E-4</v>
      </c>
      <c r="L170" s="1623"/>
      <c r="M170" s="1623"/>
      <c r="N170" s="1623"/>
      <c r="O170" s="1623"/>
      <c r="P170" s="1623"/>
      <c r="Q170" s="1623"/>
      <c r="R170" s="814"/>
      <c r="S170" s="814"/>
    </row>
    <row r="171" spans="2:19" s="2445" customFormat="1" hidden="1">
      <c r="B171" s="814"/>
      <c r="C171" s="1622"/>
      <c r="D171" s="2925" t="s">
        <v>3427</v>
      </c>
      <c r="E171" s="2925"/>
      <c r="F171" s="2925"/>
      <c r="G171" s="1623"/>
      <c r="H171" s="1623"/>
      <c r="I171" s="2926">
        <v>0</v>
      </c>
      <c r="J171" s="1623"/>
      <c r="K171" s="1680">
        <v>1.4790000000000001E-3</v>
      </c>
      <c r="L171" s="1623"/>
      <c r="M171" s="1623"/>
      <c r="N171" s="1623"/>
      <c r="O171" s="1623"/>
      <c r="P171" s="1623"/>
      <c r="Q171" s="1623"/>
      <c r="R171" s="814"/>
      <c r="S171" s="814"/>
    </row>
    <row r="172" spans="2:19" s="2445" customFormat="1" hidden="1">
      <c r="B172" s="814"/>
      <c r="C172" s="1622"/>
      <c r="D172" s="2925" t="s">
        <v>3428</v>
      </c>
      <c r="E172" s="2925"/>
      <c r="F172" s="2925"/>
      <c r="G172" s="1623"/>
      <c r="H172" s="1623"/>
      <c r="I172" s="2926">
        <v>5.3200000000000003E-4</v>
      </c>
      <c r="J172" s="1623"/>
      <c r="K172" s="1680">
        <v>5.8799999999999998E-4</v>
      </c>
      <c r="L172" s="1623"/>
      <c r="M172" s="1623"/>
      <c r="N172" s="1623"/>
      <c r="O172" s="1623"/>
      <c r="P172" s="1623"/>
      <c r="Q172" s="1623"/>
      <c r="R172" s="814"/>
      <c r="S172" s="814"/>
    </row>
    <row r="173" spans="2:19" s="2445" customFormat="1" hidden="1">
      <c r="B173" s="814"/>
      <c r="C173" s="1622"/>
      <c r="D173" s="2925" t="s">
        <v>1543</v>
      </c>
      <c r="E173" s="2925"/>
      <c r="F173" s="2925"/>
      <c r="G173" s="1623"/>
      <c r="H173" s="1623"/>
      <c r="I173" s="2926">
        <v>3.86E-4</v>
      </c>
      <c r="J173" s="1623"/>
      <c r="K173" s="1680">
        <v>5.5199999999999997E-4</v>
      </c>
      <c r="L173" s="1623"/>
      <c r="M173" s="1623"/>
      <c r="N173" s="1623"/>
      <c r="O173" s="1623"/>
      <c r="P173" s="1623"/>
      <c r="Q173" s="1623"/>
      <c r="R173" s="814"/>
      <c r="S173" s="814"/>
    </row>
    <row r="174" spans="2:19" s="2445" customFormat="1" hidden="1">
      <c r="B174" s="814"/>
      <c r="C174" s="1622"/>
      <c r="D174" s="2925" t="s">
        <v>3429</v>
      </c>
      <c r="E174" s="2925"/>
      <c r="F174" s="2925"/>
      <c r="G174" s="1623"/>
      <c r="H174" s="1623"/>
      <c r="I174" s="2926">
        <v>6.2200000000000005E-4</v>
      </c>
      <c r="J174" s="1623"/>
      <c r="K174" s="1680">
        <v>6.11E-4</v>
      </c>
      <c r="L174" s="1623"/>
      <c r="M174" s="1623"/>
      <c r="N174" s="1623"/>
      <c r="O174" s="1623"/>
      <c r="P174" s="1623"/>
      <c r="Q174" s="1623"/>
      <c r="R174" s="814"/>
      <c r="S174" s="814"/>
    </row>
    <row r="175" spans="2:19" s="2445" customFormat="1" hidden="1">
      <c r="B175" s="814"/>
      <c r="C175" s="1622"/>
      <c r="D175" s="2925" t="s">
        <v>3430</v>
      </c>
      <c r="E175" s="2925"/>
      <c r="F175" s="2925"/>
      <c r="G175" s="1623"/>
      <c r="H175" s="1623"/>
      <c r="I175" s="2926">
        <v>1.1E-5</v>
      </c>
      <c r="J175" s="1623"/>
      <c r="K175" s="1680">
        <v>2.6499999999999999E-4</v>
      </c>
      <c r="L175" s="1623"/>
      <c r="M175" s="1623"/>
      <c r="N175" s="1623"/>
      <c r="O175" s="1623"/>
      <c r="P175" s="1623"/>
      <c r="Q175" s="1623"/>
      <c r="R175" s="814"/>
      <c r="S175" s="814"/>
    </row>
    <row r="176" spans="2:19" s="2445" customFormat="1" hidden="1">
      <c r="B176" s="814"/>
      <c r="C176" s="1622"/>
      <c r="D176" s="2925" t="s">
        <v>3431</v>
      </c>
      <c r="E176" s="2925"/>
      <c r="F176" s="2925"/>
      <c r="G176" s="1623"/>
      <c r="H176" s="1623"/>
      <c r="I176" s="2926">
        <v>5.8E-4</v>
      </c>
      <c r="J176" s="1623"/>
      <c r="K176" s="1680">
        <v>5.5999999999999995E-4</v>
      </c>
      <c r="L176" s="1623"/>
      <c r="M176" s="1623"/>
      <c r="N176" s="1623"/>
      <c r="O176" s="1623"/>
      <c r="P176" s="1623"/>
      <c r="Q176" s="1623"/>
      <c r="R176" s="814"/>
      <c r="S176" s="814"/>
    </row>
    <row r="177" spans="2:19" s="2445" customFormat="1" hidden="1">
      <c r="B177" s="814"/>
      <c r="C177" s="1622"/>
      <c r="D177" s="2925" t="s">
        <v>3432</v>
      </c>
      <c r="E177" s="2925"/>
      <c r="F177" s="2925"/>
      <c r="G177" s="1623"/>
      <c r="H177" s="1623"/>
      <c r="I177" s="2926">
        <v>4.8200000000000001E-4</v>
      </c>
      <c r="J177" s="1623"/>
      <c r="K177" s="1680">
        <v>4.8700000000000002E-4</v>
      </c>
      <c r="L177" s="1623"/>
      <c r="M177" s="1623"/>
      <c r="N177" s="1623"/>
      <c r="O177" s="1623"/>
      <c r="P177" s="1623"/>
      <c r="Q177" s="1623"/>
      <c r="R177" s="814"/>
      <c r="S177" s="814"/>
    </row>
    <row r="178" spans="2:19" s="2445" customFormat="1" hidden="1">
      <c r="B178" s="814"/>
      <c r="C178" s="1622"/>
      <c r="D178" s="2925" t="s">
        <v>3433</v>
      </c>
      <c r="E178" s="2925"/>
      <c r="F178" s="2925"/>
      <c r="G178" s="1623"/>
      <c r="H178" s="1623"/>
      <c r="I178" s="2926">
        <v>3.1100000000000002E-4</v>
      </c>
      <c r="J178" s="1623"/>
      <c r="K178" s="1680">
        <v>3.01E-4</v>
      </c>
      <c r="L178" s="1623"/>
      <c r="M178" s="1623"/>
      <c r="N178" s="1623"/>
      <c r="O178" s="1623"/>
      <c r="P178" s="1623"/>
      <c r="Q178" s="1623"/>
      <c r="R178" s="814"/>
      <c r="S178" s="814"/>
    </row>
    <row r="179" spans="2:19" s="2445" customFormat="1" hidden="1">
      <c r="B179" s="814"/>
      <c r="C179" s="1622"/>
      <c r="D179" s="2925" t="s">
        <v>3434</v>
      </c>
      <c r="E179" s="2925"/>
      <c r="F179" s="2925"/>
      <c r="G179" s="1623"/>
      <c r="H179" s="1623"/>
      <c r="I179" s="2926">
        <v>0</v>
      </c>
      <c r="J179" s="1623"/>
      <c r="K179" s="1680">
        <v>0</v>
      </c>
      <c r="L179" s="1623"/>
      <c r="M179" s="1623"/>
      <c r="N179" s="1623"/>
      <c r="O179" s="1623"/>
      <c r="P179" s="1623"/>
      <c r="Q179" s="1623"/>
      <c r="R179" s="814"/>
      <c r="S179" s="814"/>
    </row>
    <row r="180" spans="2:19" s="2445" customFormat="1" hidden="1">
      <c r="B180" s="814"/>
      <c r="C180" s="1622"/>
      <c r="D180" s="2925" t="s">
        <v>3435</v>
      </c>
      <c r="E180" s="2925"/>
      <c r="F180" s="2925"/>
      <c r="G180" s="1623"/>
      <c r="H180" s="1623"/>
      <c r="I180" s="2926">
        <v>4.66E-4</v>
      </c>
      <c r="J180" s="1623"/>
      <c r="K180" s="1680">
        <v>4.9799999999999996E-4</v>
      </c>
      <c r="L180" s="1623"/>
      <c r="M180" s="1623"/>
      <c r="N180" s="1623"/>
      <c r="O180" s="1623"/>
      <c r="P180" s="1623"/>
      <c r="Q180" s="1623"/>
      <c r="R180" s="814"/>
      <c r="S180" s="814"/>
    </row>
    <row r="181" spans="2:19" s="2445" customFormat="1" hidden="1">
      <c r="B181" s="814"/>
      <c r="C181" s="1622"/>
      <c r="D181" s="2925" t="s">
        <v>3436</v>
      </c>
      <c r="E181" s="2925"/>
      <c r="F181" s="2925"/>
      <c r="G181" s="1623"/>
      <c r="H181" s="1623"/>
      <c r="I181" s="2926">
        <v>5.8200000000000005E-4</v>
      </c>
      <c r="J181" s="1623"/>
      <c r="K181" s="1680">
        <v>0</v>
      </c>
      <c r="L181" s="1623"/>
      <c r="M181" s="1623"/>
      <c r="N181" s="1623"/>
      <c r="O181" s="1623"/>
      <c r="P181" s="1623"/>
      <c r="Q181" s="1623"/>
      <c r="R181" s="814"/>
      <c r="S181" s="814"/>
    </row>
    <row r="182" spans="2:19" hidden="1">
      <c r="B182" s="814"/>
      <c r="C182" s="1622"/>
      <c r="D182" s="2925" t="s">
        <v>3437</v>
      </c>
      <c r="E182" s="2925"/>
      <c r="F182" s="2925"/>
      <c r="G182" s="1623"/>
      <c r="H182" s="1623"/>
      <c r="I182" s="2926">
        <v>4.5399999999999998E-4</v>
      </c>
      <c r="J182" s="1623"/>
      <c r="K182" s="1680">
        <v>4.3899999999999999E-4</v>
      </c>
      <c r="L182" s="1623"/>
      <c r="M182" s="1623"/>
      <c r="N182" s="1623"/>
      <c r="O182" s="1623"/>
      <c r="P182" s="1623"/>
      <c r="Q182" s="1623"/>
      <c r="R182" s="814"/>
      <c r="S182" s="814"/>
    </row>
    <row r="183" spans="2:19" ht="3" customHeight="1">
      <c r="B183" s="814"/>
      <c r="C183" s="1622"/>
      <c r="D183" s="1623"/>
      <c r="E183" s="814"/>
      <c r="F183" s="1623"/>
      <c r="G183" s="1623"/>
      <c r="H183" s="1623"/>
      <c r="I183" s="2927"/>
      <c r="J183" s="1623"/>
      <c r="K183" s="1623"/>
      <c r="L183" s="1623"/>
      <c r="M183" s="1623"/>
      <c r="N183" s="1623"/>
      <c r="O183" s="1623"/>
      <c r="P183" s="1623"/>
      <c r="Q183" s="1623"/>
      <c r="R183" s="814"/>
      <c r="S183" s="814"/>
    </row>
    <row r="184" spans="2:19">
      <c r="B184" s="814"/>
      <c r="C184" s="1622"/>
      <c r="D184" s="1623" t="s">
        <v>1475</v>
      </c>
      <c r="E184" s="814"/>
      <c r="F184" s="1623"/>
      <c r="G184" s="1623"/>
      <c r="H184" s="1623"/>
      <c r="I184" s="2926">
        <v>5.7899999999999998E-4</v>
      </c>
      <c r="J184" s="1623"/>
      <c r="K184" s="1623"/>
      <c r="L184" s="1623"/>
      <c r="M184" s="1623"/>
      <c r="N184" s="1623"/>
      <c r="O184" s="1623"/>
      <c r="P184" s="1623"/>
      <c r="Q184" s="1623"/>
      <c r="R184" s="814"/>
      <c r="S184" s="814"/>
    </row>
    <row r="185" spans="2:19">
      <c r="B185" s="814"/>
      <c r="C185" s="1622"/>
      <c r="D185" s="1622"/>
      <c r="E185" s="1623"/>
      <c r="F185" s="1623"/>
      <c r="G185" s="1623"/>
      <c r="H185" s="1623"/>
      <c r="I185" s="1679"/>
      <c r="J185" s="1623"/>
      <c r="K185" s="1623"/>
      <c r="L185" s="1623"/>
      <c r="M185" s="1623"/>
      <c r="N185" s="1623"/>
      <c r="O185" s="1623"/>
      <c r="P185" s="1623"/>
      <c r="Q185" s="1623"/>
      <c r="R185" s="814"/>
      <c r="S185" s="814"/>
    </row>
    <row r="186" spans="2:19">
      <c r="B186" s="814"/>
      <c r="C186" s="1629" t="s">
        <v>1476</v>
      </c>
      <c r="D186" s="1622"/>
      <c r="E186" s="1622"/>
      <c r="F186" s="1622"/>
      <c r="G186" s="1622"/>
      <c r="H186" s="1622"/>
      <c r="I186" s="1622"/>
      <c r="J186" s="1622"/>
      <c r="K186" s="1622"/>
      <c r="L186" s="1622"/>
      <c r="M186" s="1622"/>
      <c r="N186" s="1622"/>
      <c r="O186" s="1622"/>
      <c r="P186" s="1622"/>
      <c r="Q186" s="1622"/>
      <c r="R186" s="814"/>
      <c r="S186" s="814"/>
    </row>
    <row r="187" spans="2:19">
      <c r="B187" s="814"/>
      <c r="C187" s="814"/>
      <c r="D187" s="2179" t="s">
        <v>1890</v>
      </c>
      <c r="E187" s="2180"/>
      <c r="F187" s="2181"/>
      <c r="G187" s="814"/>
      <c r="H187" s="2182" t="s">
        <v>1926</v>
      </c>
      <c r="I187" s="2186" t="s">
        <v>821</v>
      </c>
      <c r="J187" s="2184"/>
      <c r="K187" s="2184"/>
      <c r="L187" s="2184"/>
      <c r="M187" s="2185"/>
      <c r="N187" s="2186" t="s">
        <v>1905</v>
      </c>
      <c r="O187" s="2187"/>
      <c r="P187" s="2187"/>
      <c r="Q187" s="2188"/>
      <c r="R187" s="2189" t="s">
        <v>1929</v>
      </c>
      <c r="S187" s="814"/>
    </row>
    <row r="188" spans="2:19" hidden="1">
      <c r="B188" s="814"/>
      <c r="C188" s="814"/>
      <c r="D188" s="2190"/>
      <c r="E188" s="2191"/>
      <c r="F188" s="2192"/>
      <c r="G188" s="814"/>
      <c r="H188" s="814"/>
      <c r="I188" s="2183">
        <v>300</v>
      </c>
      <c r="J188" s="2184">
        <v>2000</v>
      </c>
      <c r="K188" s="2184">
        <v>10000</v>
      </c>
      <c r="L188" s="2184">
        <v>30000</v>
      </c>
      <c r="M188" s="2185"/>
      <c r="N188" s="2193" t="e">
        <f>I96</f>
        <v>#VALUE!</v>
      </c>
      <c r="O188" s="2194">
        <f>I97</f>
        <v>4.9799999999999997E-2</v>
      </c>
      <c r="P188" s="2194">
        <f>I101</f>
        <v>6.855E-2</v>
      </c>
      <c r="Q188" s="2195"/>
      <c r="R188" s="2196"/>
      <c r="S188" s="814"/>
    </row>
    <row r="189" spans="2:19" ht="24">
      <c r="B189" s="814"/>
      <c r="C189" s="814"/>
      <c r="D189" s="2197"/>
      <c r="E189" s="2198"/>
      <c r="F189" s="2199"/>
      <c r="G189" s="814"/>
      <c r="H189" s="814"/>
      <c r="I189" s="2200" t="s">
        <v>1906</v>
      </c>
      <c r="J189" s="2201" t="s">
        <v>1907</v>
      </c>
      <c r="K189" s="2201" t="s">
        <v>1908</v>
      </c>
      <c r="L189" s="2201" t="s">
        <v>1909</v>
      </c>
      <c r="M189" s="2200" t="s">
        <v>1910</v>
      </c>
      <c r="N189" s="2200" t="s">
        <v>1911</v>
      </c>
      <c r="O189" s="2200" t="s">
        <v>1477</v>
      </c>
      <c r="P189" s="2200" t="s">
        <v>1912</v>
      </c>
      <c r="Q189" s="2202" t="s">
        <v>1325</v>
      </c>
      <c r="R189" s="2203" t="s">
        <v>1113</v>
      </c>
      <c r="S189" s="814"/>
    </row>
    <row r="190" spans="2:19" ht="14.25" customHeight="1">
      <c r="B190" s="814"/>
      <c r="C190" s="814"/>
      <c r="D190" s="2204" t="s">
        <v>1461</v>
      </c>
      <c r="E190" s="2186" t="s">
        <v>356</v>
      </c>
      <c r="F190" s="2205"/>
      <c r="G190" s="814">
        <f>メイン!R47</f>
        <v>20000</v>
      </c>
      <c r="H190" s="814">
        <f>IF(G190=0,0,IF(G190&lt;$I$188,I190,IF(G190&lt;$J$188,J190,IF(G190&lt;$K$188,K190,IF(G190&lt;$L$188,L190,M190)))))</f>
        <v>1900</v>
      </c>
      <c r="I190" s="2206">
        <v>1480</v>
      </c>
      <c r="J190" s="2206">
        <v>1480</v>
      </c>
      <c r="K190" s="2206">
        <v>1480</v>
      </c>
      <c r="L190" s="2206">
        <v>1900</v>
      </c>
      <c r="M190" s="2206">
        <v>2230</v>
      </c>
      <c r="N190" s="2207">
        <v>0.9</v>
      </c>
      <c r="O190" s="2207">
        <v>0.08</v>
      </c>
      <c r="P190" s="2207">
        <v>1.9999999999999976E-2</v>
      </c>
      <c r="Q190" s="2208" t="s">
        <v>1913</v>
      </c>
      <c r="R190" s="2209" t="e">
        <f t="shared" ref="R190:R205" si="39">SUMPRODUCT(N190:P190,$N$188:$P$188)</f>
        <v>#VALUE!</v>
      </c>
      <c r="S190" s="814"/>
    </row>
    <row r="191" spans="2:19" ht="14.25" customHeight="1">
      <c r="B191" s="814"/>
      <c r="C191" s="814"/>
      <c r="D191" s="2210"/>
      <c r="E191" s="2186" t="s">
        <v>1891</v>
      </c>
      <c r="F191" s="2205"/>
      <c r="G191" s="814">
        <f>メイン!R48</f>
        <v>0</v>
      </c>
      <c r="H191" s="814">
        <f>IF(G191=0,0,IF(G191&lt;$I$188,I191,IF(G191&lt;$J$188,J191,IF(G191&lt;$K$188,K191,IF(G191&lt;$L$188,L191,M191)))))</f>
        <v>0</v>
      </c>
      <c r="I191" s="2206">
        <v>1050</v>
      </c>
      <c r="J191" s="2206">
        <v>1050</v>
      </c>
      <c r="K191" s="2206">
        <v>1050</v>
      </c>
      <c r="L191" s="2206">
        <v>1220</v>
      </c>
      <c r="M191" s="2206">
        <v>1220</v>
      </c>
      <c r="N191" s="2207">
        <v>0.82</v>
      </c>
      <c r="O191" s="2207">
        <v>0.1</v>
      </c>
      <c r="P191" s="2207">
        <v>8.0000000000000043E-2</v>
      </c>
      <c r="Q191" s="2208" t="s">
        <v>1913</v>
      </c>
      <c r="R191" s="2209" t="e">
        <f>SUMPRODUCT(N191:P191,$N$188:$P$188)</f>
        <v>#VALUE!</v>
      </c>
      <c r="S191" s="814"/>
    </row>
    <row r="192" spans="2:19" ht="14.25" customHeight="1">
      <c r="B192" s="814"/>
      <c r="C192" s="814"/>
      <c r="D192" s="2211" t="s">
        <v>1895</v>
      </c>
      <c r="E192" s="2186" t="s">
        <v>1896</v>
      </c>
      <c r="F192" s="2205"/>
      <c r="G192" s="814">
        <f>メイン!R49</f>
        <v>0</v>
      </c>
      <c r="H192" s="814">
        <f>IF(G192=0,0,IF(G192&lt;$I$188,I192,IF(G192&lt;$J$188,J192,IF(G192&lt;$K$188,K192,IF(G192&lt;$L$188,L192,M192)))))</f>
        <v>0</v>
      </c>
      <c r="I192" s="2206">
        <v>540</v>
      </c>
      <c r="J192" s="2206">
        <v>540</v>
      </c>
      <c r="K192" s="2206">
        <v>540</v>
      </c>
      <c r="L192" s="2206">
        <v>540</v>
      </c>
      <c r="M192" s="2206">
        <v>540</v>
      </c>
      <c r="N192" s="2207">
        <v>0.68</v>
      </c>
      <c r="O192" s="2207">
        <v>0.18</v>
      </c>
      <c r="P192" s="2207">
        <v>0.13999999999999996</v>
      </c>
      <c r="Q192" s="2208" t="s">
        <v>1913</v>
      </c>
      <c r="R192" s="2209" t="e">
        <f t="shared" si="39"/>
        <v>#VALUE!</v>
      </c>
      <c r="S192" s="814"/>
    </row>
    <row r="193" spans="2:19" ht="14.25" customHeight="1">
      <c r="B193" s="814"/>
      <c r="C193" s="814"/>
      <c r="D193" s="2211"/>
      <c r="E193" s="2179" t="s">
        <v>1897</v>
      </c>
      <c r="F193" s="2200" t="s">
        <v>1898</v>
      </c>
      <c r="G193" s="814">
        <f>メイン!R50</f>
        <v>0</v>
      </c>
      <c r="H193" s="2212">
        <f>IF(G193&gt;0,I193,0)</f>
        <v>0</v>
      </c>
      <c r="I193" s="2206">
        <v>580</v>
      </c>
      <c r="J193" s="2206">
        <v>580</v>
      </c>
      <c r="K193" s="2206">
        <v>580</v>
      </c>
      <c r="L193" s="2206">
        <v>580</v>
      </c>
      <c r="M193" s="2206">
        <v>580</v>
      </c>
      <c r="N193" s="2207">
        <v>0.40660921848225862</v>
      </c>
      <c r="O193" s="2207">
        <v>8.785132326309128E-2</v>
      </c>
      <c r="P193" s="2207">
        <v>0.50553945825465008</v>
      </c>
      <c r="Q193" s="2208" t="s">
        <v>1913</v>
      </c>
      <c r="R193" s="2209" t="e">
        <f t="shared" si="39"/>
        <v>#VALUE!</v>
      </c>
      <c r="S193" s="814"/>
    </row>
    <row r="194" spans="2:19" ht="14.25" customHeight="1">
      <c r="B194" s="814"/>
      <c r="C194" s="814"/>
      <c r="D194" s="2211"/>
      <c r="E194" s="2197"/>
      <c r="F194" s="2200" t="s">
        <v>2222</v>
      </c>
      <c r="G194" s="814">
        <f>メイン!R51</f>
        <v>0</v>
      </c>
      <c r="H194" s="2212">
        <f>IF(G194&gt;0,I194,0)</f>
        <v>0</v>
      </c>
      <c r="I194" s="2206">
        <v>330</v>
      </c>
      <c r="J194" s="2206">
        <v>330</v>
      </c>
      <c r="K194" s="2206">
        <v>330</v>
      </c>
      <c r="L194" s="2206">
        <v>330</v>
      </c>
      <c r="M194" s="2206">
        <v>330</v>
      </c>
      <c r="N194" s="2207">
        <v>0.70611799443264323</v>
      </c>
      <c r="O194" s="2207">
        <v>0.22488944882084874</v>
      </c>
      <c r="P194" s="2207">
        <v>6.8992556746508032E-2</v>
      </c>
      <c r="Q194" s="2208" t="s">
        <v>1913</v>
      </c>
      <c r="R194" s="2209" t="e">
        <f t="shared" si="39"/>
        <v>#VALUE!</v>
      </c>
      <c r="S194" s="814"/>
    </row>
    <row r="195" spans="2:19" ht="14.25" customHeight="1">
      <c r="B195" s="814"/>
      <c r="C195" s="814"/>
      <c r="D195" s="2211"/>
      <c r="E195" s="2186" t="s">
        <v>1899</v>
      </c>
      <c r="F195" s="2205"/>
      <c r="G195" s="814">
        <f>メイン!R52</f>
        <v>0</v>
      </c>
      <c r="H195" s="814">
        <f t="shared" ref="H195:H205" si="40">IF(G195=0,0,IF(G195&lt;$I$188,I195,IF(G195&lt;$J$188,J195,IF(G195&lt;$K$188,K195,IF(G195&lt;$L$188,L195,M195)))))</f>
        <v>0</v>
      </c>
      <c r="I195" s="2206">
        <v>390</v>
      </c>
      <c r="J195" s="2206">
        <v>390</v>
      </c>
      <c r="K195" s="2206">
        <v>390</v>
      </c>
      <c r="L195" s="2206">
        <v>350</v>
      </c>
      <c r="M195" s="2206">
        <v>230</v>
      </c>
      <c r="N195" s="2207">
        <v>0.73</v>
      </c>
      <c r="O195" s="2207">
        <v>7.0000000000000007E-2</v>
      </c>
      <c r="P195" s="2207">
        <v>0.2</v>
      </c>
      <c r="Q195" s="2208" t="s">
        <v>1913</v>
      </c>
      <c r="R195" s="2209" t="e">
        <f t="shared" si="39"/>
        <v>#VALUE!</v>
      </c>
      <c r="S195" s="814"/>
    </row>
    <row r="196" spans="2:19" ht="14.25" customHeight="1">
      <c r="B196" s="814"/>
      <c r="C196" s="814"/>
      <c r="D196" s="2210"/>
      <c r="E196" s="2186" t="s">
        <v>1900</v>
      </c>
      <c r="F196" s="2205"/>
      <c r="G196" s="814">
        <f>メイン!R53</f>
        <v>0</v>
      </c>
      <c r="H196" s="814">
        <f t="shared" si="40"/>
        <v>0</v>
      </c>
      <c r="I196" s="2206">
        <v>840</v>
      </c>
      <c r="J196" s="2206">
        <v>840</v>
      </c>
      <c r="K196" s="2206">
        <v>840</v>
      </c>
      <c r="L196" s="2206">
        <v>870</v>
      </c>
      <c r="M196" s="2206">
        <v>1110</v>
      </c>
      <c r="N196" s="2207">
        <v>0.75</v>
      </c>
      <c r="O196" s="2207">
        <v>0.15</v>
      </c>
      <c r="P196" s="2207">
        <v>0.1</v>
      </c>
      <c r="Q196" s="2208" t="s">
        <v>1913</v>
      </c>
      <c r="R196" s="2209" t="e">
        <f t="shared" si="39"/>
        <v>#VALUE!</v>
      </c>
      <c r="S196" s="814"/>
    </row>
    <row r="197" spans="2:19" ht="14.25" customHeight="1">
      <c r="B197" s="814"/>
      <c r="C197" s="814"/>
      <c r="D197" s="2204" t="s">
        <v>1892</v>
      </c>
      <c r="E197" s="2186" t="s">
        <v>1615</v>
      </c>
      <c r="F197" s="2205"/>
      <c r="G197" s="814">
        <f>メイン!R54</f>
        <v>0</v>
      </c>
      <c r="H197" s="814">
        <f t="shared" si="40"/>
        <v>0</v>
      </c>
      <c r="I197" s="2206">
        <v>7270</v>
      </c>
      <c r="J197" s="2206">
        <v>7270</v>
      </c>
      <c r="K197" s="2206">
        <v>5010</v>
      </c>
      <c r="L197" s="2206">
        <v>3150</v>
      </c>
      <c r="M197" s="2206">
        <v>3150</v>
      </c>
      <c r="N197" s="2207">
        <v>0.92</v>
      </c>
      <c r="O197" s="2207">
        <v>0.04</v>
      </c>
      <c r="P197" s="2207">
        <v>3.9999999999999959E-2</v>
      </c>
      <c r="Q197" s="2208" t="s">
        <v>1913</v>
      </c>
      <c r="R197" s="2209" t="e">
        <f t="shared" si="39"/>
        <v>#VALUE!</v>
      </c>
      <c r="S197" s="814"/>
    </row>
    <row r="198" spans="2:19" ht="14.25" customHeight="1">
      <c r="B198" s="814"/>
      <c r="C198" s="814"/>
      <c r="D198" s="2210"/>
      <c r="E198" s="2186" t="s">
        <v>1893</v>
      </c>
      <c r="F198" s="2205"/>
      <c r="G198" s="814">
        <f>メイン!R55</f>
        <v>0</v>
      </c>
      <c r="H198" s="814">
        <f t="shared" si="40"/>
        <v>0</v>
      </c>
      <c r="I198" s="2206">
        <v>2290</v>
      </c>
      <c r="J198" s="2206">
        <v>2290</v>
      </c>
      <c r="K198" s="2206">
        <v>2290</v>
      </c>
      <c r="L198" s="2206">
        <v>2290</v>
      </c>
      <c r="M198" s="2206">
        <v>2290</v>
      </c>
      <c r="N198" s="2207">
        <v>0.93</v>
      </c>
      <c r="O198" s="2207">
        <v>0.04</v>
      </c>
      <c r="P198" s="2207">
        <v>2.999999999999995E-2</v>
      </c>
      <c r="Q198" s="2208" t="s">
        <v>1913</v>
      </c>
      <c r="R198" s="2209" t="e">
        <f t="shared" si="39"/>
        <v>#VALUE!</v>
      </c>
      <c r="S198" s="814"/>
    </row>
    <row r="199" spans="2:19" ht="14.25" customHeight="1">
      <c r="B199" s="814"/>
      <c r="C199" s="814"/>
      <c r="D199" s="2186" t="s">
        <v>362</v>
      </c>
      <c r="E199" s="2187"/>
      <c r="F199" s="2205"/>
      <c r="G199" s="814">
        <f>メイン!R56</f>
        <v>0</v>
      </c>
      <c r="H199" s="814">
        <f t="shared" si="40"/>
        <v>0</v>
      </c>
      <c r="I199" s="2206">
        <v>3150</v>
      </c>
      <c r="J199" s="2206">
        <v>3150</v>
      </c>
      <c r="K199" s="2206">
        <v>3150</v>
      </c>
      <c r="L199" s="2206">
        <v>3150</v>
      </c>
      <c r="M199" s="2206">
        <v>3150</v>
      </c>
      <c r="N199" s="2207">
        <v>0.49</v>
      </c>
      <c r="O199" s="2207">
        <v>0.38</v>
      </c>
      <c r="P199" s="2207">
        <v>0.13</v>
      </c>
      <c r="Q199" s="2208" t="s">
        <v>1913</v>
      </c>
      <c r="R199" s="2209" t="e">
        <f t="shared" si="39"/>
        <v>#VALUE!</v>
      </c>
      <c r="S199" s="814"/>
    </row>
    <row r="200" spans="2:19" ht="14.25" customHeight="1">
      <c r="B200" s="814"/>
      <c r="C200" s="814"/>
      <c r="D200" s="2204" t="s">
        <v>1901</v>
      </c>
      <c r="E200" s="2186" t="s">
        <v>1902</v>
      </c>
      <c r="F200" s="2205"/>
      <c r="G200" s="814">
        <f>メイン!R57</f>
        <v>0</v>
      </c>
      <c r="H200" s="814">
        <f t="shared" si="40"/>
        <v>0</v>
      </c>
      <c r="I200" s="2206">
        <v>980</v>
      </c>
      <c r="J200" s="2206">
        <v>980</v>
      </c>
      <c r="K200" s="2206">
        <v>980</v>
      </c>
      <c r="L200" s="2206">
        <v>1390</v>
      </c>
      <c r="M200" s="2206">
        <v>1390</v>
      </c>
      <c r="N200" s="2207">
        <v>0.76</v>
      </c>
      <c r="O200" s="2207">
        <v>0.17</v>
      </c>
      <c r="P200" s="2207">
        <v>6.9999999999999979E-2</v>
      </c>
      <c r="Q200" s="2208" t="s">
        <v>1913</v>
      </c>
      <c r="R200" s="2209" t="e">
        <f t="shared" si="39"/>
        <v>#VALUE!</v>
      </c>
      <c r="S200" s="814"/>
    </row>
    <row r="201" spans="2:19" ht="14.25" customHeight="1">
      <c r="B201" s="814"/>
      <c r="C201" s="814"/>
      <c r="D201" s="2211"/>
      <c r="E201" s="2186" t="s">
        <v>1903</v>
      </c>
      <c r="F201" s="2205"/>
      <c r="G201" s="814">
        <f>メイン!R58</f>
        <v>0</v>
      </c>
      <c r="H201" s="814">
        <f t="shared" si="40"/>
        <v>0</v>
      </c>
      <c r="I201" s="2206">
        <v>1080</v>
      </c>
      <c r="J201" s="2206">
        <v>1080</v>
      </c>
      <c r="K201" s="2206">
        <v>1080</v>
      </c>
      <c r="L201" s="2206">
        <v>1370</v>
      </c>
      <c r="M201" s="2206">
        <v>1370</v>
      </c>
      <c r="N201" s="2207">
        <v>0.81</v>
      </c>
      <c r="O201" s="2207">
        <v>0.09</v>
      </c>
      <c r="P201" s="2207">
        <v>9.999999999999995E-2</v>
      </c>
      <c r="Q201" s="2208" t="s">
        <v>1913</v>
      </c>
      <c r="R201" s="2209" t="e">
        <f t="shared" si="39"/>
        <v>#VALUE!</v>
      </c>
      <c r="S201" s="814"/>
    </row>
    <row r="202" spans="2:19" ht="14.25" customHeight="1">
      <c r="B202" s="814"/>
      <c r="C202" s="814"/>
      <c r="D202" s="2211"/>
      <c r="E202" s="2179" t="s">
        <v>1904</v>
      </c>
      <c r="F202" s="2181"/>
      <c r="G202" s="814">
        <f>メイン!R59</f>
        <v>0</v>
      </c>
      <c r="H202" s="814">
        <f t="shared" si="40"/>
        <v>0</v>
      </c>
      <c r="I202" s="2206">
        <v>1990</v>
      </c>
      <c r="J202" s="2206">
        <v>1990</v>
      </c>
      <c r="K202" s="2206">
        <v>1990</v>
      </c>
      <c r="L202" s="2206">
        <v>1400</v>
      </c>
      <c r="M202" s="2206">
        <v>1400</v>
      </c>
      <c r="N202" s="2207">
        <v>0.61</v>
      </c>
      <c r="O202" s="2207">
        <v>0.27</v>
      </c>
      <c r="P202" s="2207">
        <v>0.12</v>
      </c>
      <c r="Q202" s="2208" t="s">
        <v>1913</v>
      </c>
      <c r="R202" s="2209" t="e">
        <f t="shared" si="39"/>
        <v>#VALUE!</v>
      </c>
      <c r="S202" s="814"/>
    </row>
    <row r="203" spans="2:19" ht="14.25" customHeight="1">
      <c r="B203" s="814"/>
      <c r="C203" s="814"/>
      <c r="D203" s="2186" t="s">
        <v>372</v>
      </c>
      <c r="E203" s="2187"/>
      <c r="F203" s="2205"/>
      <c r="G203" s="814">
        <f>メイン!R60</f>
        <v>0</v>
      </c>
      <c r="H203" s="814">
        <f t="shared" si="40"/>
        <v>0</v>
      </c>
      <c r="I203" s="2206">
        <v>500</v>
      </c>
      <c r="J203" s="2206">
        <v>500</v>
      </c>
      <c r="K203" s="2206">
        <v>500</v>
      </c>
      <c r="L203" s="2206">
        <v>500</v>
      </c>
      <c r="M203" s="2206">
        <v>500</v>
      </c>
      <c r="N203" s="2207">
        <v>1</v>
      </c>
      <c r="O203" s="2207">
        <v>0</v>
      </c>
      <c r="P203" s="2207">
        <v>0</v>
      </c>
      <c r="Q203" s="2208" t="s">
        <v>1913</v>
      </c>
      <c r="R203" s="2209" t="e">
        <f t="shared" si="39"/>
        <v>#VALUE!</v>
      </c>
      <c r="S203" s="814"/>
    </row>
    <row r="204" spans="2:19" ht="14.25" customHeight="1">
      <c r="B204" s="814"/>
      <c r="C204" s="814"/>
      <c r="D204" s="2186" t="s">
        <v>366</v>
      </c>
      <c r="E204" s="2187"/>
      <c r="F204" s="2205"/>
      <c r="G204" s="814">
        <f>メイン!R61</f>
        <v>0</v>
      </c>
      <c r="H204" s="814">
        <f t="shared" si="40"/>
        <v>0</v>
      </c>
      <c r="I204" s="2206">
        <v>2200</v>
      </c>
      <c r="J204" s="2206">
        <v>2200</v>
      </c>
      <c r="K204" s="2206">
        <v>2200</v>
      </c>
      <c r="L204" s="2206">
        <v>2480</v>
      </c>
      <c r="M204" s="2206">
        <v>2990</v>
      </c>
      <c r="N204" s="2207">
        <v>0.56000000000000005</v>
      </c>
      <c r="O204" s="2207">
        <v>0.19</v>
      </c>
      <c r="P204" s="2207">
        <v>0.24999999999999994</v>
      </c>
      <c r="Q204" s="2208" t="s">
        <v>1913</v>
      </c>
      <c r="R204" s="2209" t="e">
        <f t="shared" si="39"/>
        <v>#VALUE!</v>
      </c>
      <c r="S204" s="814"/>
    </row>
    <row r="205" spans="2:19" ht="14.25" customHeight="1">
      <c r="B205" s="814"/>
      <c r="C205" s="814"/>
      <c r="D205" s="2186" t="s">
        <v>1894</v>
      </c>
      <c r="E205" s="2187"/>
      <c r="F205" s="2205"/>
      <c r="G205" s="814">
        <f>メイン!R62</f>
        <v>0</v>
      </c>
      <c r="H205" s="814">
        <f t="shared" si="40"/>
        <v>0</v>
      </c>
      <c r="I205" s="2206">
        <v>2450</v>
      </c>
      <c r="J205" s="2206">
        <v>2450</v>
      </c>
      <c r="K205" s="2206">
        <v>2450</v>
      </c>
      <c r="L205" s="2206">
        <v>2750</v>
      </c>
      <c r="M205" s="2206">
        <v>2830</v>
      </c>
      <c r="N205" s="2207">
        <v>0.56000000000000005</v>
      </c>
      <c r="O205" s="2207">
        <v>0.2</v>
      </c>
      <c r="P205" s="2207">
        <v>0.23999999999999994</v>
      </c>
      <c r="Q205" s="2208" t="s">
        <v>1913</v>
      </c>
      <c r="R205" s="2209" t="e">
        <f t="shared" si="39"/>
        <v>#VALUE!</v>
      </c>
      <c r="S205" s="814"/>
    </row>
    <row r="206" spans="2:19" ht="13.5" hidden="1" customHeight="1">
      <c r="B206" s="814"/>
      <c r="C206" s="814"/>
      <c r="D206" s="2190"/>
      <c r="E206" s="2198"/>
      <c r="F206" s="2199"/>
      <c r="G206" s="814">
        <f>メイン!R63</f>
        <v>0</v>
      </c>
      <c r="H206" s="814">
        <f>IF(G206&gt;=$I$188,I206,IF(G206&gt;=$J$188,J206,IF(G206&gt;=$K$188,K206,IF(G206&gt;=$L$188,L206,IF(G206&gt;=$M$188,M206,0)))))</f>
        <v>0</v>
      </c>
      <c r="I206" s="2206"/>
      <c r="J206" s="2206"/>
      <c r="K206" s="2206"/>
      <c r="L206" s="2206"/>
      <c r="M206" s="2206"/>
      <c r="N206" s="2193" t="e">
        <f>I96</f>
        <v>#VALUE!</v>
      </c>
      <c r="O206" s="2194">
        <f>I97</f>
        <v>4.9799999999999997E-2</v>
      </c>
      <c r="P206" s="2194">
        <f>I99</f>
        <v>6.7799999999999999E-2</v>
      </c>
      <c r="Q206" s="2195">
        <f>I102</f>
        <v>5.8999999999999997E-2</v>
      </c>
      <c r="R206" s="2182"/>
      <c r="S206" s="814"/>
    </row>
    <row r="207" spans="2:19" ht="14.25" customHeight="1">
      <c r="B207" s="814"/>
      <c r="C207" s="814"/>
      <c r="D207" s="2196" t="s">
        <v>1714</v>
      </c>
      <c r="E207" s="2213" t="s">
        <v>1925</v>
      </c>
      <c r="F207" s="2214"/>
      <c r="G207" s="814"/>
      <c r="H207" s="814" t="str">
        <f>IF(G207&gt;=$I$188,I207,IF(G207&gt;=$J$188,J207,IF(G207&gt;=$K$188,K207,IF(G207&gt;=$L$188,L207,IF(G207&gt;=$M$188,M207,0)))))</f>
        <v>-</v>
      </c>
      <c r="I207" s="2272" t="s">
        <v>1913</v>
      </c>
      <c r="J207" s="2272" t="s">
        <v>1913</v>
      </c>
      <c r="K207" s="2272" t="s">
        <v>1913</v>
      </c>
      <c r="L207" s="2272" t="s">
        <v>1913</v>
      </c>
      <c r="M207" s="2272" t="s">
        <v>1913</v>
      </c>
      <c r="N207" s="2207">
        <v>0.51</v>
      </c>
      <c r="O207" s="2207">
        <v>0.20399999999999999</v>
      </c>
      <c r="P207" s="2207">
        <v>0.16700000000000001</v>
      </c>
      <c r="Q207" s="2207">
        <v>0.11</v>
      </c>
      <c r="R207" s="2209" t="e">
        <f>SUMPRODUCT(N207:Q207,$N$206:$Q$206)</f>
        <v>#VALUE!</v>
      </c>
      <c r="S207" s="814"/>
    </row>
    <row r="208" spans="2:19" ht="14.25" customHeight="1">
      <c r="B208" s="814"/>
      <c r="C208" s="814"/>
      <c r="D208" s="2215"/>
      <c r="E208" s="2216" t="s">
        <v>376</v>
      </c>
      <c r="F208" s="2217"/>
      <c r="G208" s="814"/>
      <c r="H208" s="814" t="str">
        <f>IF(G208&gt;=$I$188,I208,IF(G208&gt;=$J$188,J208,IF(G208&gt;=$K$188,K208,IF(G208&gt;=$L$188,L208,IF(G208&gt;=$M$188,M208,0)))))</f>
        <v>-</v>
      </c>
      <c r="I208" s="2272" t="s">
        <v>1913</v>
      </c>
      <c r="J208" s="2272" t="s">
        <v>1913</v>
      </c>
      <c r="K208" s="2272" t="s">
        <v>1913</v>
      </c>
      <c r="L208" s="2272" t="s">
        <v>1913</v>
      </c>
      <c r="M208" s="2272" t="s">
        <v>1913</v>
      </c>
      <c r="N208" s="2207">
        <v>1</v>
      </c>
      <c r="O208" s="2207">
        <v>0</v>
      </c>
      <c r="P208" s="2207">
        <v>0</v>
      </c>
      <c r="Q208" s="2208" t="s">
        <v>1913</v>
      </c>
      <c r="R208" s="2209" t="e">
        <f t="shared" ref="R208" si="41">SUMPRODUCT(N208:P208,$N$188:$P$188)</f>
        <v>#VALUE!</v>
      </c>
      <c r="S208" s="814"/>
    </row>
    <row r="209" spans="2:27" s="2413" customFormat="1" ht="14.25" hidden="1" customHeight="1">
      <c r="B209" s="814"/>
      <c r="C209" s="814"/>
      <c r="D209" s="2219" t="s">
        <v>1926</v>
      </c>
      <c r="E209" s="2444"/>
      <c r="F209" s="2217"/>
      <c r="G209" s="814"/>
      <c r="H209" s="814"/>
      <c r="I209" s="2272" t="s">
        <v>1913</v>
      </c>
      <c r="J209" s="2272" t="s">
        <v>1913</v>
      </c>
      <c r="K209" s="2272" t="s">
        <v>1913</v>
      </c>
      <c r="L209" s="2272" t="s">
        <v>1913</v>
      </c>
      <c r="M209" s="2272" t="s">
        <v>1913</v>
      </c>
      <c r="N209" s="2207"/>
      <c r="O209" s="2207"/>
      <c r="P209" s="2207"/>
      <c r="Q209" s="2208" t="s">
        <v>1913</v>
      </c>
      <c r="R209" s="2209" t="e">
        <f>SUMPRODUCT(N209:Q209,$N$188:$Q$188)</f>
        <v>#VALUE!</v>
      </c>
      <c r="S209" s="814"/>
    </row>
    <row r="210" spans="2:27" ht="14.25" customHeight="1">
      <c r="B210" s="814"/>
      <c r="C210" s="814"/>
      <c r="D210" s="2250" t="s">
        <v>822</v>
      </c>
      <c r="E210" s="2218" t="s">
        <v>3438</v>
      </c>
      <c r="F210" s="814"/>
      <c r="G210" s="814"/>
      <c r="H210" s="814"/>
      <c r="I210" s="814"/>
      <c r="J210" s="814"/>
      <c r="K210" s="814"/>
      <c r="L210" s="814"/>
      <c r="M210" s="814"/>
      <c r="N210" s="814"/>
      <c r="O210" s="814"/>
      <c r="P210" s="2218" t="s">
        <v>1914</v>
      </c>
      <c r="Q210" s="814"/>
      <c r="R210" s="814"/>
      <c r="S210" s="814"/>
    </row>
    <row r="211" spans="2:27" ht="14.25" customHeight="1">
      <c r="B211" s="814"/>
      <c r="C211" s="814"/>
      <c r="D211" s="814"/>
      <c r="E211" s="2218" t="s">
        <v>3439</v>
      </c>
      <c r="F211" s="814"/>
      <c r="G211" s="814"/>
      <c r="H211" s="814"/>
      <c r="I211" s="814"/>
      <c r="J211" s="814"/>
      <c r="K211" s="814"/>
      <c r="L211" s="814"/>
      <c r="M211" s="814"/>
      <c r="N211" s="814"/>
      <c r="O211" s="814"/>
      <c r="P211" s="2218"/>
      <c r="Q211" s="814"/>
      <c r="R211" s="814"/>
      <c r="S211" s="814"/>
    </row>
    <row r="212" spans="2:27" ht="14.25" customHeight="1">
      <c r="B212" s="814"/>
      <c r="C212" s="814"/>
      <c r="D212" s="814"/>
      <c r="E212" s="2218" t="s">
        <v>3440</v>
      </c>
      <c r="F212" s="814"/>
      <c r="G212" s="814"/>
      <c r="H212" s="814"/>
      <c r="I212" s="814"/>
      <c r="J212" s="814"/>
      <c r="K212" s="814"/>
      <c r="L212" s="814"/>
      <c r="M212" s="814"/>
      <c r="N212" s="814"/>
      <c r="O212" s="814"/>
      <c r="P212" s="2218"/>
      <c r="Q212" s="814"/>
      <c r="R212" s="814"/>
      <c r="S212" s="814"/>
    </row>
    <row r="213" spans="2:27" ht="6.75" customHeight="1">
      <c r="B213" s="814"/>
      <c r="C213" s="814"/>
      <c r="D213" s="814"/>
      <c r="E213" s="814"/>
      <c r="F213" s="814"/>
      <c r="G213" s="814"/>
      <c r="H213" s="814"/>
      <c r="I213" s="814"/>
      <c r="J213" s="814"/>
      <c r="K213" s="814"/>
      <c r="L213" s="814"/>
      <c r="M213" s="814"/>
      <c r="N213" s="814"/>
      <c r="O213" s="814"/>
      <c r="P213" s="814"/>
      <c r="Q213" s="814"/>
      <c r="R213" s="814"/>
      <c r="S213" s="814"/>
    </row>
    <row r="214" spans="2:27" ht="14.25" customHeight="1">
      <c r="B214" s="814"/>
      <c r="C214" s="814"/>
      <c r="D214" s="2267" t="s">
        <v>3441</v>
      </c>
      <c r="E214" s="814"/>
      <c r="F214" s="814"/>
      <c r="G214" s="814"/>
      <c r="H214" s="814"/>
      <c r="I214" s="814"/>
      <c r="J214" s="814"/>
      <c r="K214" s="814"/>
      <c r="L214" s="814"/>
      <c r="M214" s="814"/>
      <c r="N214" s="2261"/>
      <c r="O214" s="814"/>
      <c r="P214" s="814"/>
      <c r="Q214" s="2250" t="s">
        <v>2408</v>
      </c>
      <c r="R214" s="814"/>
      <c r="S214" s="814"/>
    </row>
    <row r="215" spans="2:27" ht="14.25" customHeight="1">
      <c r="B215" s="814"/>
      <c r="C215" s="814"/>
      <c r="D215" s="2219" t="s">
        <v>1915</v>
      </c>
      <c r="E215" s="2220"/>
      <c r="F215" s="2189" t="s">
        <v>3442</v>
      </c>
      <c r="G215" s="814"/>
      <c r="H215" s="814"/>
      <c r="I215" s="2182" t="s">
        <v>1926</v>
      </c>
      <c r="J215" s="2219" t="s">
        <v>1916</v>
      </c>
      <c r="K215" s="2220"/>
      <c r="L215" s="2220"/>
      <c r="M215" s="2220"/>
      <c r="N215" s="2220"/>
      <c r="O215" s="2220"/>
      <c r="P215" s="2229" t="s">
        <v>3443</v>
      </c>
      <c r="Q215" s="2188"/>
      <c r="R215" s="814"/>
      <c r="T215" s="2274" t="s">
        <v>2419</v>
      </c>
      <c r="U215" s="2273"/>
      <c r="V215" s="2273"/>
      <c r="W215" s="2273"/>
      <c r="X215" s="2273"/>
      <c r="Y215" s="2273"/>
      <c r="Z215" s="2273"/>
      <c r="AA215" s="2273"/>
    </row>
    <row r="216" spans="2:27" ht="14.25" customHeight="1">
      <c r="B216" s="814"/>
      <c r="C216" s="814"/>
      <c r="D216" s="2182" t="s">
        <v>1917</v>
      </c>
      <c r="E216" s="2182" t="s">
        <v>1918</v>
      </c>
      <c r="F216" s="2196" t="s">
        <v>1114</v>
      </c>
      <c r="G216" s="814"/>
      <c r="H216" s="814">
        <v>1</v>
      </c>
      <c r="I216" s="2189">
        <f>メイン!K19</f>
        <v>6</v>
      </c>
      <c r="J216" s="2182">
        <v>1</v>
      </c>
      <c r="K216" s="2182">
        <v>2</v>
      </c>
      <c r="L216" s="2182">
        <v>3</v>
      </c>
      <c r="M216" s="2182">
        <v>4</v>
      </c>
      <c r="N216" s="2182">
        <v>5</v>
      </c>
      <c r="O216" s="2182">
        <v>6</v>
      </c>
      <c r="P216" s="2182">
        <v>7</v>
      </c>
      <c r="Q216" s="2182">
        <v>8</v>
      </c>
      <c r="R216" s="814"/>
      <c r="T216" s="2275">
        <v>1</v>
      </c>
      <c r="U216" s="2275">
        <v>2</v>
      </c>
      <c r="V216" s="2275">
        <v>3</v>
      </c>
      <c r="W216" s="2275">
        <v>4</v>
      </c>
      <c r="X216" s="2275">
        <v>5</v>
      </c>
      <c r="Y216" s="2275">
        <v>6</v>
      </c>
      <c r="Z216" s="2275">
        <v>7</v>
      </c>
      <c r="AA216" s="2275">
        <v>8</v>
      </c>
    </row>
    <row r="217" spans="2:27" ht="14.25" customHeight="1">
      <c r="B217" s="814"/>
      <c r="C217" s="814"/>
      <c r="D217" s="2196"/>
      <c r="E217" s="2266"/>
      <c r="F217" s="2182" t="s">
        <v>1974</v>
      </c>
      <c r="G217" s="2182" t="s">
        <v>3444</v>
      </c>
      <c r="H217" s="2182">
        <v>2</v>
      </c>
      <c r="I217" s="2221">
        <f>HLOOKUP($I$216,$J$216:$Q$234,H217)</f>
        <v>1119</v>
      </c>
      <c r="J217" s="2221">
        <v>1510</v>
      </c>
      <c r="K217" s="2221">
        <v>1315</v>
      </c>
      <c r="L217" s="2221">
        <v>1134</v>
      </c>
      <c r="M217" s="2221">
        <v>1316</v>
      </c>
      <c r="N217" s="2221">
        <v>1190</v>
      </c>
      <c r="O217" s="2221">
        <v>1119</v>
      </c>
      <c r="P217" s="2221">
        <v>985</v>
      </c>
      <c r="Q217" s="2221">
        <v>937</v>
      </c>
      <c r="R217" s="814"/>
      <c r="T217" s="2276">
        <f t="shared" ref="T217:AA217" si="42">MAX(J217:J234)</f>
        <v>1777</v>
      </c>
      <c r="U217" s="2276">
        <f t="shared" si="42"/>
        <v>1542</v>
      </c>
      <c r="V217" s="2276">
        <f t="shared" si="42"/>
        <v>1325</v>
      </c>
      <c r="W217" s="2276">
        <f t="shared" si="42"/>
        <v>1543</v>
      </c>
      <c r="X217" s="2276">
        <f t="shared" si="42"/>
        <v>1393</v>
      </c>
      <c r="Y217" s="2276">
        <f t="shared" si="42"/>
        <v>1308</v>
      </c>
      <c r="Z217" s="2276">
        <f t="shared" si="42"/>
        <v>1147</v>
      </c>
      <c r="AA217" s="2276">
        <f t="shared" si="42"/>
        <v>1089</v>
      </c>
    </row>
    <row r="218" spans="2:27" ht="14.25" customHeight="1">
      <c r="B218" s="814"/>
      <c r="C218" s="814"/>
      <c r="D218" s="2196" t="s">
        <v>1921</v>
      </c>
      <c r="E218" s="814" t="s">
        <v>1919</v>
      </c>
      <c r="F218" s="2182" t="s">
        <v>1920</v>
      </c>
      <c r="G218" s="2182" t="s">
        <v>3445</v>
      </c>
      <c r="H218" s="2182">
        <v>3</v>
      </c>
      <c r="I218" s="2221">
        <f t="shared" ref="I218:I233" si="43">HLOOKUP($I$216,$J$216:$Q$234,H218)</f>
        <v>1308</v>
      </c>
      <c r="J218" s="2221">
        <v>1777</v>
      </c>
      <c r="K218" s="2221">
        <v>1542</v>
      </c>
      <c r="L218" s="2221">
        <v>1325</v>
      </c>
      <c r="M218" s="2221">
        <v>1543</v>
      </c>
      <c r="N218" s="2221">
        <v>1393</v>
      </c>
      <c r="O218" s="2221">
        <v>1308</v>
      </c>
      <c r="P218" s="2221">
        <v>1147</v>
      </c>
      <c r="Q218" s="2221">
        <v>1089</v>
      </c>
      <c r="R218" s="814"/>
      <c r="T218" s="2277">
        <f>J217</f>
        <v>1510</v>
      </c>
      <c r="U218" s="2277">
        <f>K217</f>
        <v>1315</v>
      </c>
      <c r="V218" s="2277">
        <f>L223</f>
        <v>1069</v>
      </c>
      <c r="W218" s="2277">
        <f>M223</f>
        <v>1218</v>
      </c>
      <c r="X218" s="2277">
        <f>N223</f>
        <v>1080</v>
      </c>
      <c r="Y218" s="2277">
        <f>O223</f>
        <v>1081</v>
      </c>
      <c r="Z218" s="2277">
        <f>P223</f>
        <v>965</v>
      </c>
      <c r="AA218" s="2277">
        <f>Q217</f>
        <v>937</v>
      </c>
    </row>
    <row r="219" spans="2:27" ht="14.25" customHeight="1">
      <c r="B219" s="814"/>
      <c r="C219" s="814"/>
      <c r="D219" s="2196"/>
      <c r="E219" s="814"/>
      <c r="F219" s="2182" t="s">
        <v>3446</v>
      </c>
      <c r="G219" s="2182" t="s">
        <v>3447</v>
      </c>
      <c r="H219" s="814">
        <v>4</v>
      </c>
      <c r="I219" s="2221">
        <f t="shared" si="43"/>
        <v>1119</v>
      </c>
      <c r="J219" s="2221">
        <v>1510</v>
      </c>
      <c r="K219" s="2221">
        <v>1315</v>
      </c>
      <c r="L219" s="2221">
        <v>1134</v>
      </c>
      <c r="M219" s="2221">
        <v>1316</v>
      </c>
      <c r="N219" s="2221">
        <v>1190</v>
      </c>
      <c r="O219" s="2221">
        <v>1119</v>
      </c>
      <c r="P219" s="2221">
        <v>985</v>
      </c>
      <c r="Q219" s="2221">
        <v>937</v>
      </c>
      <c r="R219" s="814"/>
      <c r="S219" s="814"/>
    </row>
    <row r="220" spans="2:27" ht="14.25" customHeight="1">
      <c r="B220" s="814"/>
      <c r="C220" s="814"/>
      <c r="D220" s="2268"/>
      <c r="E220" s="2189"/>
      <c r="F220" s="2188" t="s">
        <v>1974</v>
      </c>
      <c r="G220" s="2182" t="s">
        <v>3448</v>
      </c>
      <c r="H220" s="2182">
        <v>5</v>
      </c>
      <c r="I220" s="2221">
        <f t="shared" si="43"/>
        <v>926</v>
      </c>
      <c r="J220" s="2221">
        <v>1492</v>
      </c>
      <c r="K220" s="2221">
        <v>1299</v>
      </c>
      <c r="L220" s="2221">
        <v>1096</v>
      </c>
      <c r="M220" s="2221">
        <v>1242</v>
      </c>
      <c r="N220" s="2221">
        <v>1109</v>
      </c>
      <c r="O220" s="2221">
        <v>926</v>
      </c>
      <c r="P220" s="2221">
        <v>740</v>
      </c>
      <c r="Q220" s="2221">
        <v>525</v>
      </c>
      <c r="R220" s="814"/>
      <c r="S220" s="814"/>
    </row>
    <row r="221" spans="2:27" ht="14.25" customHeight="1">
      <c r="B221" s="814"/>
      <c r="C221" s="814"/>
      <c r="D221" s="2269" t="s">
        <v>1921</v>
      </c>
      <c r="E221" s="2196" t="s">
        <v>1922</v>
      </c>
      <c r="F221" s="2188" t="s">
        <v>1920</v>
      </c>
      <c r="G221" s="2182" t="s">
        <v>3449</v>
      </c>
      <c r="H221" s="2182">
        <v>6</v>
      </c>
      <c r="I221" s="2221">
        <f t="shared" si="43"/>
        <v>1076</v>
      </c>
      <c r="J221" s="2221">
        <v>1755</v>
      </c>
      <c r="K221" s="2221">
        <v>1523</v>
      </c>
      <c r="L221" s="2221">
        <v>1279</v>
      </c>
      <c r="M221" s="2221">
        <v>1455</v>
      </c>
      <c r="N221" s="2221">
        <v>1295</v>
      </c>
      <c r="O221" s="2221">
        <v>1076</v>
      </c>
      <c r="P221" s="2221">
        <v>852</v>
      </c>
      <c r="Q221" s="2221">
        <v>595</v>
      </c>
      <c r="R221" s="814"/>
      <c r="S221" s="814"/>
    </row>
    <row r="222" spans="2:27" ht="14.25" customHeight="1">
      <c r="B222" s="814"/>
      <c r="C222" s="814"/>
      <c r="D222" s="2270"/>
      <c r="E222" s="2215"/>
      <c r="F222" s="2182" t="s">
        <v>3446</v>
      </c>
      <c r="G222" s="2182" t="s">
        <v>3450</v>
      </c>
      <c r="H222" s="814">
        <v>7</v>
      </c>
      <c r="I222" s="2221">
        <f t="shared" si="43"/>
        <v>926</v>
      </c>
      <c r="J222" s="2221">
        <v>1492</v>
      </c>
      <c r="K222" s="2221">
        <v>1299</v>
      </c>
      <c r="L222" s="2221">
        <v>1096</v>
      </c>
      <c r="M222" s="2221">
        <v>1242</v>
      </c>
      <c r="N222" s="2221">
        <v>1109</v>
      </c>
      <c r="O222" s="2221">
        <v>926</v>
      </c>
      <c r="P222" s="2221">
        <v>740</v>
      </c>
      <c r="Q222" s="2221">
        <v>525</v>
      </c>
      <c r="R222" s="814"/>
      <c r="S222" s="814"/>
    </row>
    <row r="223" spans="2:27" ht="14.25" customHeight="1">
      <c r="B223" s="814"/>
      <c r="C223" s="814"/>
      <c r="D223" s="2189"/>
      <c r="E223" s="2189"/>
      <c r="F223" s="2182" t="s">
        <v>1974</v>
      </c>
      <c r="G223" s="2182" t="s">
        <v>3451</v>
      </c>
      <c r="H223" s="2182">
        <v>8</v>
      </c>
      <c r="I223" s="2221">
        <f t="shared" si="43"/>
        <v>1081</v>
      </c>
      <c r="J223" s="2221">
        <v>1252</v>
      </c>
      <c r="K223" s="2221">
        <v>1176</v>
      </c>
      <c r="L223" s="2221">
        <v>1069</v>
      </c>
      <c r="M223" s="2221">
        <v>1218</v>
      </c>
      <c r="N223" s="2221">
        <v>1080</v>
      </c>
      <c r="O223" s="2221">
        <v>1081</v>
      </c>
      <c r="P223" s="2221">
        <v>965</v>
      </c>
      <c r="Q223" s="2221">
        <v>937</v>
      </c>
      <c r="R223" s="814"/>
      <c r="S223" s="814"/>
    </row>
    <row r="224" spans="2:27" ht="14.25" customHeight="1">
      <c r="B224" s="814"/>
      <c r="C224" s="814"/>
      <c r="D224" s="2196" t="s">
        <v>1923</v>
      </c>
      <c r="E224" s="2196" t="s">
        <v>1919</v>
      </c>
      <c r="F224" s="2182" t="s">
        <v>1920</v>
      </c>
      <c r="G224" s="2182" t="s">
        <v>3452</v>
      </c>
      <c r="H224" s="2182">
        <v>9</v>
      </c>
      <c r="I224" s="2221">
        <f t="shared" si="43"/>
        <v>1261</v>
      </c>
      <c r="J224" s="2221">
        <v>1467</v>
      </c>
      <c r="K224" s="2221">
        <v>1376</v>
      </c>
      <c r="L224" s="2221">
        <v>1248</v>
      </c>
      <c r="M224" s="2221">
        <v>1426</v>
      </c>
      <c r="N224" s="2221">
        <v>1260</v>
      </c>
      <c r="O224" s="2221">
        <v>1261</v>
      </c>
      <c r="P224" s="2221">
        <v>1122</v>
      </c>
      <c r="Q224" s="2221">
        <v>1089</v>
      </c>
      <c r="R224" s="814"/>
      <c r="S224" s="814"/>
    </row>
    <row r="225" spans="2:19" ht="14.25" customHeight="1">
      <c r="B225" s="814"/>
      <c r="C225" s="814"/>
      <c r="D225" s="2196"/>
      <c r="E225" s="2196"/>
      <c r="F225" s="2182" t="s">
        <v>3446</v>
      </c>
      <c r="G225" s="2182" t="s">
        <v>3453</v>
      </c>
      <c r="H225" s="814">
        <v>10</v>
      </c>
      <c r="I225" s="2221">
        <f t="shared" si="43"/>
        <v>1081</v>
      </c>
      <c r="J225" s="2221">
        <v>1252</v>
      </c>
      <c r="K225" s="2221">
        <v>1176</v>
      </c>
      <c r="L225" s="2221">
        <v>1069</v>
      </c>
      <c r="M225" s="2221">
        <v>1218</v>
      </c>
      <c r="N225" s="2221">
        <v>1080</v>
      </c>
      <c r="O225" s="2221">
        <v>1081</v>
      </c>
      <c r="P225" s="2221">
        <v>965</v>
      </c>
      <c r="Q225" s="2221">
        <v>937</v>
      </c>
      <c r="R225" s="814"/>
      <c r="S225" s="814"/>
    </row>
    <row r="226" spans="2:19" ht="14.25" customHeight="1">
      <c r="B226" s="814"/>
      <c r="C226" s="814"/>
      <c r="D226" s="2268"/>
      <c r="E226" s="2189"/>
      <c r="F226" s="2188" t="s">
        <v>1974</v>
      </c>
      <c r="G226" s="2182" t="s">
        <v>3454</v>
      </c>
      <c r="H226" s="2182">
        <v>11</v>
      </c>
      <c r="I226" s="2221">
        <f t="shared" si="43"/>
        <v>887</v>
      </c>
      <c r="J226" s="2221">
        <v>1233</v>
      </c>
      <c r="K226" s="2221">
        <v>1160</v>
      </c>
      <c r="L226" s="2221">
        <v>1031</v>
      </c>
      <c r="M226" s="2221">
        <v>1144</v>
      </c>
      <c r="N226" s="2221">
        <v>998</v>
      </c>
      <c r="O226" s="2221">
        <v>887</v>
      </c>
      <c r="P226" s="2221">
        <v>720</v>
      </c>
      <c r="Q226" s="2221">
        <v>525</v>
      </c>
      <c r="R226" s="814"/>
      <c r="S226" s="814"/>
    </row>
    <row r="227" spans="2:19" ht="14.25" customHeight="1">
      <c r="B227" s="814"/>
      <c r="C227" s="814"/>
      <c r="D227" s="2269" t="s">
        <v>1923</v>
      </c>
      <c r="E227" s="2196" t="s">
        <v>1922</v>
      </c>
      <c r="F227" s="2188" t="s">
        <v>1920</v>
      </c>
      <c r="G227" s="2182" t="s">
        <v>3455</v>
      </c>
      <c r="H227" s="2182">
        <v>12</v>
      </c>
      <c r="I227" s="2221">
        <f t="shared" si="43"/>
        <v>1029</v>
      </c>
      <c r="J227" s="2221">
        <v>1444</v>
      </c>
      <c r="K227" s="2221">
        <v>1357</v>
      </c>
      <c r="L227" s="2221">
        <v>1202</v>
      </c>
      <c r="M227" s="2221">
        <v>1338</v>
      </c>
      <c r="N227" s="2221">
        <v>1163</v>
      </c>
      <c r="O227" s="2221">
        <v>1029</v>
      </c>
      <c r="P227" s="2221">
        <v>828</v>
      </c>
      <c r="Q227" s="2221">
        <v>595</v>
      </c>
      <c r="R227" s="814"/>
      <c r="S227" s="814"/>
    </row>
    <row r="228" spans="2:19">
      <c r="B228" s="814"/>
      <c r="C228" s="814"/>
      <c r="D228" s="2270"/>
      <c r="E228" s="2215"/>
      <c r="F228" s="2182" t="s">
        <v>3446</v>
      </c>
      <c r="G228" s="2182" t="s">
        <v>3456</v>
      </c>
      <c r="H228" s="814">
        <v>13</v>
      </c>
      <c r="I228" s="2221">
        <f t="shared" si="43"/>
        <v>887</v>
      </c>
      <c r="J228" s="2221">
        <v>1233</v>
      </c>
      <c r="K228" s="2221">
        <v>1160</v>
      </c>
      <c r="L228" s="2221">
        <v>1031</v>
      </c>
      <c r="M228" s="2221">
        <v>1144</v>
      </c>
      <c r="N228" s="2221">
        <v>998</v>
      </c>
      <c r="O228" s="2221">
        <v>887</v>
      </c>
      <c r="P228" s="2221">
        <v>720</v>
      </c>
      <c r="Q228" s="2221">
        <v>525</v>
      </c>
      <c r="R228" s="814"/>
      <c r="S228" s="814"/>
    </row>
    <row r="229" spans="2:19" s="2261" customFormat="1">
      <c r="B229" s="814"/>
      <c r="C229" s="814"/>
      <c r="D229" s="2189"/>
      <c r="E229" s="2249"/>
      <c r="F229" s="2182" t="s">
        <v>1974</v>
      </c>
      <c r="G229" s="2182" t="s">
        <v>3457</v>
      </c>
      <c r="H229" s="2182">
        <v>14</v>
      </c>
      <c r="I229" s="2221">
        <f t="shared" si="43"/>
        <v>870</v>
      </c>
      <c r="J229" s="2221">
        <v>957</v>
      </c>
      <c r="K229" s="2221">
        <v>905</v>
      </c>
      <c r="L229" s="2221">
        <v>839</v>
      </c>
      <c r="M229" s="2221">
        <v>924</v>
      </c>
      <c r="N229" s="2221">
        <v>813</v>
      </c>
      <c r="O229" s="2221">
        <v>870</v>
      </c>
      <c r="P229" s="2221">
        <v>848</v>
      </c>
      <c r="Q229" s="2221">
        <v>937</v>
      </c>
      <c r="R229" s="814"/>
      <c r="S229" s="814"/>
    </row>
    <row r="230" spans="2:19" s="2261" customFormat="1">
      <c r="B230" s="814"/>
      <c r="C230" s="814"/>
      <c r="D230" s="2196" t="s">
        <v>1924</v>
      </c>
      <c r="E230" s="2271" t="s">
        <v>1919</v>
      </c>
      <c r="F230" s="2182" t="s">
        <v>1920</v>
      </c>
      <c r="G230" s="2182" t="s">
        <v>3458</v>
      </c>
      <c r="H230" s="2182">
        <v>15</v>
      </c>
      <c r="I230" s="2221">
        <f t="shared" si="43"/>
        <v>1009</v>
      </c>
      <c r="J230" s="2221">
        <v>1113</v>
      </c>
      <c r="K230" s="2221">
        <v>1051</v>
      </c>
      <c r="L230" s="2221">
        <v>972</v>
      </c>
      <c r="M230" s="2221">
        <v>1073</v>
      </c>
      <c r="N230" s="2221">
        <v>940</v>
      </c>
      <c r="O230" s="2221">
        <v>1009</v>
      </c>
      <c r="P230" s="2221">
        <v>983</v>
      </c>
      <c r="Q230" s="2221">
        <v>1089</v>
      </c>
      <c r="R230" s="814"/>
      <c r="S230" s="814"/>
    </row>
    <row r="231" spans="2:19" s="2261" customFormat="1">
      <c r="B231" s="814"/>
      <c r="C231" s="814"/>
      <c r="D231" s="2196"/>
      <c r="E231" s="2271"/>
      <c r="F231" s="2182" t="s">
        <v>3446</v>
      </c>
      <c r="G231" s="2182" t="s">
        <v>3459</v>
      </c>
      <c r="H231" s="814">
        <v>16</v>
      </c>
      <c r="I231" s="2221">
        <f t="shared" si="43"/>
        <v>870</v>
      </c>
      <c r="J231" s="2221">
        <v>957</v>
      </c>
      <c r="K231" s="2221">
        <v>905</v>
      </c>
      <c r="L231" s="2221">
        <v>839</v>
      </c>
      <c r="M231" s="2221">
        <v>924</v>
      </c>
      <c r="N231" s="2221">
        <v>813</v>
      </c>
      <c r="O231" s="2221">
        <v>870</v>
      </c>
      <c r="P231" s="2221">
        <v>848</v>
      </c>
      <c r="Q231" s="2221">
        <v>937</v>
      </c>
      <c r="R231" s="814"/>
      <c r="S231" s="814"/>
    </row>
    <row r="232" spans="2:19" s="2261" customFormat="1">
      <c r="B232" s="814"/>
      <c r="C232" s="814"/>
      <c r="D232" s="2268"/>
      <c r="E232" s="2189"/>
      <c r="F232" s="2188" t="s">
        <v>1974</v>
      </c>
      <c r="G232" s="2182" t="s">
        <v>3460</v>
      </c>
      <c r="H232" s="2182">
        <v>17</v>
      </c>
      <c r="I232" s="2221">
        <f t="shared" si="43"/>
        <v>677</v>
      </c>
      <c r="J232" s="2221">
        <v>939</v>
      </c>
      <c r="K232" s="2221">
        <v>889</v>
      </c>
      <c r="L232" s="2221">
        <v>801</v>
      </c>
      <c r="M232" s="2221">
        <v>850</v>
      </c>
      <c r="N232" s="2221">
        <v>732</v>
      </c>
      <c r="O232" s="2221">
        <v>677</v>
      </c>
      <c r="P232" s="2221">
        <v>603</v>
      </c>
      <c r="Q232" s="2221">
        <v>525</v>
      </c>
      <c r="R232" s="814"/>
      <c r="S232" s="814"/>
    </row>
    <row r="233" spans="2:19" s="2261" customFormat="1">
      <c r="B233" s="814"/>
      <c r="C233" s="814"/>
      <c r="D233" s="2269" t="s">
        <v>1924</v>
      </c>
      <c r="E233" s="2196" t="s">
        <v>1922</v>
      </c>
      <c r="F233" s="2188" t="s">
        <v>1920</v>
      </c>
      <c r="G233" s="2182" t="s">
        <v>3461</v>
      </c>
      <c r="H233" s="2182">
        <v>18</v>
      </c>
      <c r="I233" s="2221">
        <f t="shared" si="43"/>
        <v>777</v>
      </c>
      <c r="J233" s="2221">
        <v>1091</v>
      </c>
      <c r="K233" s="2221">
        <v>1031</v>
      </c>
      <c r="L233" s="2221">
        <v>926</v>
      </c>
      <c r="M233" s="2221">
        <v>985</v>
      </c>
      <c r="N233" s="2221">
        <v>843</v>
      </c>
      <c r="O233" s="2221">
        <v>777</v>
      </c>
      <c r="P233" s="2221">
        <v>689</v>
      </c>
      <c r="Q233" s="2221">
        <v>595</v>
      </c>
      <c r="R233" s="814"/>
      <c r="S233" s="814"/>
    </row>
    <row r="234" spans="2:19" s="2261" customFormat="1">
      <c r="B234" s="814"/>
      <c r="C234" s="814"/>
      <c r="D234" s="2270"/>
      <c r="E234" s="2215"/>
      <c r="F234" s="2182" t="s">
        <v>3446</v>
      </c>
      <c r="G234" s="2182" t="s">
        <v>3462</v>
      </c>
      <c r="H234" s="2182">
        <v>19</v>
      </c>
      <c r="I234" s="2221">
        <f>HLOOKUP($I$216,$J$216:$Q$234,H234)</f>
        <v>677</v>
      </c>
      <c r="J234" s="2221">
        <v>939</v>
      </c>
      <c r="K234" s="2221">
        <v>889</v>
      </c>
      <c r="L234" s="2221">
        <v>801</v>
      </c>
      <c r="M234" s="2221">
        <v>850</v>
      </c>
      <c r="N234" s="2221">
        <v>732</v>
      </c>
      <c r="O234" s="2221">
        <v>677</v>
      </c>
      <c r="P234" s="2221">
        <v>603</v>
      </c>
      <c r="Q234" s="2221">
        <v>525</v>
      </c>
      <c r="R234" s="814"/>
      <c r="S234" s="814"/>
    </row>
    <row r="235" spans="2:19" hidden="1">
      <c r="B235" s="814"/>
      <c r="C235" s="814"/>
      <c r="D235" s="2222">
        <f>計画書!F64</f>
        <v>0</v>
      </c>
      <c r="E235" s="2222">
        <f>計画書!L64</f>
        <v>0</v>
      </c>
      <c r="F235" s="814" t="str">
        <f>計画書!F62</f>
        <v>算定プログラムによる評価</v>
      </c>
      <c r="G235" s="2278" t="str">
        <f>IFERROR(D235&amp;E235&amp;計画書!F62,"-")</f>
        <v>00算定プログラムによる評価</v>
      </c>
      <c r="H235" s="2278" t="str">
        <f>IFERROR(VLOOKUP(G235,G217:H234,2,0),"-")</f>
        <v>-</v>
      </c>
      <c r="I235" s="2279">
        <f>IF(H235="-",HLOOKUP($I$216,$T$216:$AA$218,2,FALSE),VLOOKUP(H235,$H$217:$I$234,2))</f>
        <v>1308</v>
      </c>
      <c r="J235" s="814"/>
      <c r="K235" s="814"/>
      <c r="L235" s="814"/>
      <c r="M235" s="814"/>
      <c r="N235" s="814"/>
      <c r="O235" s="814"/>
      <c r="P235" s="814"/>
      <c r="Q235" s="814"/>
      <c r="R235" s="814"/>
      <c r="S235" s="814"/>
    </row>
    <row r="236" spans="2:19" hidden="1">
      <c r="B236" s="814"/>
      <c r="C236" s="814"/>
      <c r="D236" s="814"/>
      <c r="E236" s="814"/>
      <c r="F236" s="814"/>
      <c r="G236" s="814" t="str">
        <f>D235&amp;E235&amp;0</f>
        <v>000</v>
      </c>
      <c r="H236" s="2278" t="str">
        <f>IFERROR(VLOOKUP(G236,G217:H234,2,0),"-")</f>
        <v>-</v>
      </c>
      <c r="I236" s="2279">
        <f>IF(H236="-",HLOOKUP($I$216,$T$216:$AA$218,3,FALSE),VLOOKUP(H236,$H$217:$I$234,2))</f>
        <v>1081</v>
      </c>
      <c r="J236" s="814"/>
      <c r="K236" s="814"/>
      <c r="L236" s="814"/>
      <c r="M236" s="814"/>
      <c r="N236" s="814"/>
      <c r="O236" s="814"/>
      <c r="P236" s="814"/>
      <c r="Q236" s="814"/>
      <c r="R236" s="814"/>
      <c r="S236" s="814"/>
    </row>
    <row r="237" spans="2:19">
      <c r="B237" s="814"/>
      <c r="C237" s="814"/>
      <c r="D237" s="1622"/>
      <c r="E237" s="1623"/>
      <c r="F237" s="1623"/>
      <c r="G237" s="1623"/>
      <c r="H237" s="1623"/>
      <c r="I237" s="1679"/>
      <c r="J237" s="1673"/>
      <c r="K237" s="1623"/>
      <c r="L237" s="1623"/>
      <c r="M237" s="1623"/>
      <c r="N237" s="1623"/>
      <c r="O237" s="1623"/>
      <c r="P237" s="1623"/>
      <c r="Q237" s="1623"/>
      <c r="R237" s="814"/>
      <c r="S237" s="814"/>
    </row>
    <row r="238" spans="2:19">
      <c r="C238" s="1684" t="s">
        <v>2397</v>
      </c>
      <c r="D238" s="1623"/>
      <c r="E238" s="1623"/>
      <c r="F238" s="1623"/>
      <c r="G238" s="1623"/>
      <c r="H238" s="1623"/>
      <c r="I238" s="1623"/>
      <c r="J238" s="1623"/>
      <c r="K238" s="1623"/>
      <c r="L238" s="1623"/>
      <c r="M238" s="1623"/>
      <c r="N238" s="1623"/>
      <c r="O238" s="1623"/>
      <c r="P238" s="1623"/>
      <c r="Q238" s="1623"/>
    </row>
    <row r="239" spans="2:19">
      <c r="C239" s="1685"/>
      <c r="D239" s="1623"/>
      <c r="E239" s="1623"/>
      <c r="F239" s="1623"/>
      <c r="G239" s="1623"/>
      <c r="H239" s="1623"/>
      <c r="I239" s="1623"/>
      <c r="J239" s="1623"/>
      <c r="K239" s="1623"/>
      <c r="L239" s="1623"/>
      <c r="M239" s="1623"/>
      <c r="N239" s="1623"/>
      <c r="O239" s="1623"/>
      <c r="P239" s="1623"/>
      <c r="Q239" s="1623"/>
    </row>
    <row r="240" spans="2:19">
      <c r="C240" s="1628" t="s">
        <v>2144</v>
      </c>
      <c r="D240" s="1623"/>
      <c r="E240" s="1623"/>
      <c r="F240" s="1623"/>
      <c r="G240" s="1623"/>
      <c r="H240" s="1623"/>
      <c r="I240" s="1630" t="s">
        <v>608</v>
      </c>
      <c r="J240" s="1626"/>
      <c r="K240" s="1631"/>
      <c r="L240" s="1630" t="s">
        <v>607</v>
      </c>
      <c r="M240" s="1626"/>
      <c r="N240" s="1631"/>
      <c r="O240" s="1630" t="s">
        <v>609</v>
      </c>
      <c r="P240" s="1626"/>
      <c r="Q240" s="1631"/>
    </row>
    <row r="241" spans="3:17">
      <c r="C241" s="1623"/>
      <c r="D241" s="1686" t="s">
        <v>2145</v>
      </c>
      <c r="E241" s="1623"/>
      <c r="F241" s="1623"/>
      <c r="G241" s="1661"/>
      <c r="H241" s="1661"/>
      <c r="I241" s="1637" t="s">
        <v>408</v>
      </c>
      <c r="J241" s="1637" t="s">
        <v>409</v>
      </c>
      <c r="K241" s="1637" t="s">
        <v>410</v>
      </c>
      <c r="L241" s="1637" t="s">
        <v>408</v>
      </c>
      <c r="M241" s="1637" t="s">
        <v>409</v>
      </c>
      <c r="N241" s="1637" t="s">
        <v>410</v>
      </c>
      <c r="O241" s="1637" t="s">
        <v>408</v>
      </c>
      <c r="P241" s="1637" t="s">
        <v>409</v>
      </c>
      <c r="Q241" s="1637" t="s">
        <v>410</v>
      </c>
    </row>
    <row r="242" spans="3:17">
      <c r="C242" s="1623"/>
      <c r="D242" s="1623"/>
      <c r="E242" s="1632" t="s">
        <v>411</v>
      </c>
      <c r="F242" s="1681"/>
      <c r="G242" s="1661">
        <v>1</v>
      </c>
      <c r="H242" s="1661"/>
      <c r="I242" s="1687">
        <v>60</v>
      </c>
      <c r="J242" s="1687">
        <v>60</v>
      </c>
      <c r="K242" s="1687">
        <v>60</v>
      </c>
      <c r="L242" s="1687">
        <v>60</v>
      </c>
      <c r="M242" s="1687">
        <v>60</v>
      </c>
      <c r="N242" s="1687">
        <v>60</v>
      </c>
      <c r="O242" s="1687">
        <v>60</v>
      </c>
      <c r="P242" s="1687">
        <v>60</v>
      </c>
      <c r="Q242" s="1687">
        <v>60</v>
      </c>
    </row>
    <row r="243" spans="3:17">
      <c r="C243" s="1623"/>
      <c r="D243" s="1623"/>
      <c r="E243" s="1632" t="s">
        <v>358</v>
      </c>
      <c r="F243" s="1681"/>
      <c r="G243" s="1661">
        <v>2</v>
      </c>
      <c r="H243" s="1661"/>
      <c r="I243" s="1687">
        <v>60</v>
      </c>
      <c r="J243" s="1687">
        <v>60</v>
      </c>
      <c r="K243" s="1687">
        <v>60</v>
      </c>
      <c r="L243" s="1687">
        <v>60</v>
      </c>
      <c r="M243" s="1687">
        <v>60</v>
      </c>
      <c r="N243" s="1687">
        <v>60</v>
      </c>
      <c r="O243" s="1687">
        <v>60</v>
      </c>
      <c r="P243" s="1687">
        <v>60</v>
      </c>
      <c r="Q243" s="1687">
        <v>60</v>
      </c>
    </row>
    <row r="244" spans="3:17">
      <c r="C244" s="1623"/>
      <c r="D244" s="1623"/>
      <c r="E244" s="1632" t="s">
        <v>360</v>
      </c>
      <c r="F244" s="1681"/>
      <c r="G244" s="1661">
        <v>3</v>
      </c>
      <c r="H244" s="1661"/>
      <c r="I244" s="1687">
        <v>30</v>
      </c>
      <c r="J244" s="1687">
        <v>30</v>
      </c>
      <c r="K244" s="1687">
        <v>30</v>
      </c>
      <c r="L244" s="1687">
        <v>30</v>
      </c>
      <c r="M244" s="1687">
        <v>30</v>
      </c>
      <c r="N244" s="1687">
        <v>30</v>
      </c>
      <c r="O244" s="1687">
        <v>30</v>
      </c>
      <c r="P244" s="1687">
        <v>30</v>
      </c>
      <c r="Q244" s="1687">
        <v>30</v>
      </c>
    </row>
    <row r="245" spans="3:17">
      <c r="C245" s="1623"/>
      <c r="D245" s="1623"/>
      <c r="E245" s="1632" t="s">
        <v>362</v>
      </c>
      <c r="F245" s="1681"/>
      <c r="G245" s="1661">
        <v>4</v>
      </c>
      <c r="H245" s="1661"/>
      <c r="I245" s="1687">
        <v>30</v>
      </c>
      <c r="J245" s="1687">
        <v>30</v>
      </c>
      <c r="K245" s="1687">
        <v>30</v>
      </c>
      <c r="L245" s="1687">
        <v>30</v>
      </c>
      <c r="M245" s="1687">
        <v>30</v>
      </c>
      <c r="N245" s="1687">
        <v>30</v>
      </c>
      <c r="O245" s="1687">
        <v>30</v>
      </c>
      <c r="P245" s="1687">
        <v>30</v>
      </c>
      <c r="Q245" s="1687">
        <v>30</v>
      </c>
    </row>
    <row r="246" spans="3:17">
      <c r="C246" s="1623"/>
      <c r="D246" s="1623"/>
      <c r="E246" s="1632" t="s">
        <v>1617</v>
      </c>
      <c r="F246" s="1681"/>
      <c r="G246" s="1661">
        <v>5</v>
      </c>
      <c r="H246" s="1661"/>
      <c r="I246" s="1687">
        <v>60</v>
      </c>
      <c r="J246" s="1687">
        <v>60</v>
      </c>
      <c r="K246" s="1687">
        <v>60</v>
      </c>
      <c r="L246" s="1687">
        <v>60</v>
      </c>
      <c r="M246" s="1687">
        <v>60</v>
      </c>
      <c r="N246" s="1687">
        <v>60</v>
      </c>
      <c r="O246" s="1687">
        <v>60</v>
      </c>
      <c r="P246" s="1687">
        <v>60</v>
      </c>
      <c r="Q246" s="1687">
        <v>60</v>
      </c>
    </row>
    <row r="247" spans="3:17">
      <c r="C247" s="1623"/>
      <c r="D247" s="1623"/>
      <c r="E247" s="1632" t="s">
        <v>372</v>
      </c>
      <c r="F247" s="1681"/>
      <c r="G247" s="1661">
        <v>6</v>
      </c>
      <c r="H247" s="1661"/>
      <c r="I247" s="1687">
        <v>30</v>
      </c>
      <c r="J247" s="1687">
        <v>30</v>
      </c>
      <c r="K247" s="1687">
        <v>30</v>
      </c>
      <c r="L247" s="1687">
        <v>30</v>
      </c>
      <c r="M247" s="1687">
        <v>30</v>
      </c>
      <c r="N247" s="1687">
        <v>30</v>
      </c>
      <c r="O247" s="1687">
        <v>30</v>
      </c>
      <c r="P247" s="1687">
        <v>30</v>
      </c>
      <c r="Q247" s="1687">
        <v>30</v>
      </c>
    </row>
    <row r="248" spans="3:17">
      <c r="C248" s="1623"/>
      <c r="D248" s="1623"/>
      <c r="E248" s="1632" t="s">
        <v>366</v>
      </c>
      <c r="F248" s="1681"/>
      <c r="G248" s="1661">
        <v>7</v>
      </c>
      <c r="H248" s="1661"/>
      <c r="I248" s="1687">
        <v>60</v>
      </c>
      <c r="J248" s="1687">
        <v>60</v>
      </c>
      <c r="K248" s="1687">
        <v>60</v>
      </c>
      <c r="L248" s="1687">
        <v>60</v>
      </c>
      <c r="M248" s="1687">
        <v>60</v>
      </c>
      <c r="N248" s="1687">
        <v>60</v>
      </c>
      <c r="O248" s="1687">
        <v>60</v>
      </c>
      <c r="P248" s="1687">
        <v>60</v>
      </c>
      <c r="Q248" s="1687">
        <v>60</v>
      </c>
    </row>
    <row r="249" spans="3:17">
      <c r="C249" s="1623"/>
      <c r="D249" s="1623"/>
      <c r="E249" s="1632" t="s">
        <v>262</v>
      </c>
      <c r="F249" s="1681"/>
      <c r="G249" s="1661">
        <v>8</v>
      </c>
      <c r="H249" s="1661"/>
      <c r="I249" s="1687">
        <v>60</v>
      </c>
      <c r="J249" s="1687">
        <v>60</v>
      </c>
      <c r="K249" s="1687">
        <v>60</v>
      </c>
      <c r="L249" s="1687">
        <v>60</v>
      </c>
      <c r="M249" s="1687">
        <v>60</v>
      </c>
      <c r="N249" s="1687">
        <v>60</v>
      </c>
      <c r="O249" s="1687">
        <v>60</v>
      </c>
      <c r="P249" s="1687">
        <v>60</v>
      </c>
      <c r="Q249" s="1687">
        <v>60</v>
      </c>
    </row>
    <row r="250" spans="3:17">
      <c r="C250" s="1623"/>
      <c r="D250" s="1623"/>
      <c r="E250" s="1632" t="s">
        <v>370</v>
      </c>
      <c r="F250" s="1681"/>
      <c r="G250" s="1661">
        <v>9</v>
      </c>
      <c r="H250" s="1661"/>
      <c r="I250" s="1687">
        <v>30</v>
      </c>
      <c r="J250" s="1687">
        <v>60</v>
      </c>
      <c r="K250" s="1687">
        <v>90</v>
      </c>
      <c r="L250" s="1687">
        <v>30</v>
      </c>
      <c r="M250" s="1687">
        <v>60</v>
      </c>
      <c r="N250" s="1687">
        <v>90</v>
      </c>
      <c r="O250" s="1687">
        <v>30</v>
      </c>
      <c r="P250" s="1687">
        <v>60</v>
      </c>
      <c r="Q250" s="1687">
        <v>90</v>
      </c>
    </row>
    <row r="251" spans="3:17">
      <c r="C251" s="1628"/>
      <c r="D251" s="1628"/>
      <c r="E251" s="1623"/>
      <c r="F251" s="1623"/>
      <c r="G251" s="1623"/>
      <c r="H251" s="1623"/>
      <c r="I251" s="1688"/>
      <c r="J251" s="1688"/>
      <c r="K251" s="1688"/>
      <c r="L251" s="1688"/>
      <c r="M251" s="1688"/>
      <c r="N251" s="1688"/>
      <c r="O251" s="1688"/>
      <c r="P251" s="1688"/>
      <c r="Q251" s="1688"/>
    </row>
    <row r="252" spans="3:17">
      <c r="C252" s="1628" t="s">
        <v>1978</v>
      </c>
      <c r="D252" s="1628"/>
      <c r="E252" s="1623"/>
      <c r="F252" s="1623"/>
      <c r="G252" s="1623"/>
      <c r="H252" s="1623"/>
      <c r="I252" s="849" t="s">
        <v>2146</v>
      </c>
      <c r="J252" s="1689" t="s">
        <v>3463</v>
      </c>
      <c r="K252" s="1689" t="s">
        <v>2147</v>
      </c>
      <c r="L252" s="849" t="s">
        <v>2146</v>
      </c>
      <c r="M252" s="1689" t="s">
        <v>3463</v>
      </c>
      <c r="N252" s="1689" t="s">
        <v>2147</v>
      </c>
      <c r="O252" s="849" t="s">
        <v>2146</v>
      </c>
      <c r="P252" s="1689" t="s">
        <v>3463</v>
      </c>
      <c r="Q252" s="1689" t="s">
        <v>2147</v>
      </c>
    </row>
    <row r="253" spans="3:17">
      <c r="C253" s="1623"/>
      <c r="D253" s="1623" t="s">
        <v>1461</v>
      </c>
      <c r="E253" s="1623" t="s">
        <v>1981</v>
      </c>
      <c r="F253" s="1623" t="s">
        <v>1982</v>
      </c>
      <c r="G253" s="1623"/>
      <c r="H253" s="1623"/>
      <c r="I253" s="1690">
        <v>0.56699999999999995</v>
      </c>
      <c r="J253" s="1690">
        <v>0</v>
      </c>
      <c r="K253" s="1690">
        <v>0</v>
      </c>
      <c r="L253" s="1690">
        <v>0.77200000000000002</v>
      </c>
      <c r="M253" s="1690">
        <v>0</v>
      </c>
      <c r="N253" s="1690">
        <v>0</v>
      </c>
      <c r="O253" s="1690">
        <v>0.69599999999999995</v>
      </c>
      <c r="P253" s="1690">
        <v>0</v>
      </c>
      <c r="Q253" s="1690">
        <v>0</v>
      </c>
    </row>
    <row r="254" spans="3:17">
      <c r="C254" s="1623"/>
      <c r="D254" s="1623"/>
      <c r="E254" s="1623" t="s">
        <v>1983</v>
      </c>
      <c r="F254" s="1623" t="s">
        <v>1982</v>
      </c>
      <c r="G254" s="1623"/>
      <c r="H254" s="1623"/>
      <c r="I254" s="1690">
        <v>0</v>
      </c>
      <c r="J254" s="1690">
        <v>0</v>
      </c>
      <c r="K254" s="1690">
        <v>0.56699999999999995</v>
      </c>
      <c r="L254" s="1690">
        <v>0</v>
      </c>
      <c r="M254" s="1690">
        <v>0</v>
      </c>
      <c r="N254" s="1690">
        <v>0.77200000000000002</v>
      </c>
      <c r="O254" s="1690">
        <v>0</v>
      </c>
      <c r="P254" s="1690">
        <v>0</v>
      </c>
      <c r="Q254" s="1690">
        <v>0.69599999999999995</v>
      </c>
    </row>
    <row r="255" spans="3:17">
      <c r="C255" s="1623"/>
      <c r="D255" s="1623"/>
      <c r="E255" s="1623" t="s">
        <v>1984</v>
      </c>
      <c r="F255" s="1623" t="s">
        <v>1985</v>
      </c>
      <c r="G255" s="1623"/>
      <c r="H255" s="1623"/>
      <c r="I255" s="1690">
        <v>0.13600000000000001</v>
      </c>
      <c r="J255" s="1690">
        <v>0</v>
      </c>
      <c r="K255" s="1690">
        <v>0.13600000000000001</v>
      </c>
      <c r="L255" s="1690">
        <v>3.7999999999999999E-2</v>
      </c>
      <c r="M255" s="1690">
        <v>0</v>
      </c>
      <c r="N255" s="1690">
        <v>3.7999999999999999E-2</v>
      </c>
      <c r="O255" s="1690">
        <v>0.1</v>
      </c>
      <c r="P255" s="1690">
        <v>0</v>
      </c>
      <c r="Q255" s="1690">
        <v>0.1</v>
      </c>
    </row>
    <row r="256" spans="3:17">
      <c r="C256" s="1691"/>
      <c r="D256" s="1691"/>
      <c r="E256" s="1691" t="s">
        <v>1986</v>
      </c>
      <c r="F256" s="1691" t="s">
        <v>1985</v>
      </c>
      <c r="G256" s="1691"/>
      <c r="H256" s="1691"/>
      <c r="I256" s="1690"/>
      <c r="J256" s="1690">
        <v>0</v>
      </c>
      <c r="K256" s="1690">
        <v>0</v>
      </c>
      <c r="L256" s="1690"/>
      <c r="M256" s="1690">
        <v>0</v>
      </c>
      <c r="N256" s="1690">
        <v>0</v>
      </c>
      <c r="O256" s="1690"/>
      <c r="P256" s="1690">
        <v>0</v>
      </c>
      <c r="Q256" s="1690">
        <v>0</v>
      </c>
    </row>
    <row r="257" spans="3:17">
      <c r="C257" s="1623"/>
      <c r="D257" s="1623"/>
      <c r="E257" s="1623" t="s">
        <v>1987</v>
      </c>
      <c r="F257" s="1623" t="s">
        <v>1985</v>
      </c>
      <c r="G257" s="1623"/>
      <c r="H257" s="1623"/>
      <c r="I257" s="1690">
        <v>7.0000000000000007E-2</v>
      </c>
      <c r="J257" s="1690">
        <v>0</v>
      </c>
      <c r="K257" s="1690">
        <v>7.0000000000000007E-2</v>
      </c>
      <c r="L257" s="1690">
        <v>0.10299999999999999</v>
      </c>
      <c r="M257" s="1690">
        <v>0</v>
      </c>
      <c r="N257" s="1690">
        <v>0.10299999999999999</v>
      </c>
      <c r="O257" s="1690">
        <v>7.8E-2</v>
      </c>
      <c r="P257" s="1690">
        <v>0</v>
      </c>
      <c r="Q257" s="1690">
        <v>7.8E-2</v>
      </c>
    </row>
    <row r="258" spans="3:17">
      <c r="C258" s="1623"/>
      <c r="D258" s="1623"/>
      <c r="E258" s="1623" t="s">
        <v>1712</v>
      </c>
      <c r="F258" s="1623" t="s">
        <v>1985</v>
      </c>
      <c r="G258" s="1623"/>
      <c r="H258" s="1623"/>
      <c r="I258" s="1690">
        <v>5.0000000000000001E-3</v>
      </c>
      <c r="J258" s="1690">
        <v>0</v>
      </c>
      <c r="K258" s="1690">
        <v>5.0000000000000001E-3</v>
      </c>
      <c r="L258" s="1690">
        <v>1.2999999999999999E-2</v>
      </c>
      <c r="M258" s="1690">
        <v>0</v>
      </c>
      <c r="N258" s="1690">
        <v>1.26E-2</v>
      </c>
      <c r="O258" s="1690">
        <v>8.0000000000000002E-3</v>
      </c>
      <c r="P258" s="1690">
        <v>0</v>
      </c>
      <c r="Q258" s="1690">
        <v>8.0000000000000002E-3</v>
      </c>
    </row>
    <row r="259" spans="3:17">
      <c r="C259" s="1623"/>
      <c r="D259" s="1623" t="s">
        <v>1462</v>
      </c>
      <c r="E259" s="1623" t="s">
        <v>1981</v>
      </c>
      <c r="F259" s="1623" t="s">
        <v>1982</v>
      </c>
      <c r="G259" s="1623"/>
      <c r="H259" s="1623"/>
      <c r="I259" s="1690">
        <v>0.35199999999999998</v>
      </c>
      <c r="J259" s="1690">
        <v>0</v>
      </c>
      <c r="K259" s="1690">
        <v>0</v>
      </c>
      <c r="L259" s="1690">
        <v>0.86499999999999999</v>
      </c>
      <c r="M259" s="1690">
        <v>0</v>
      </c>
      <c r="N259" s="1690">
        <v>0</v>
      </c>
      <c r="O259" s="1690">
        <v>0.95799999999999996</v>
      </c>
      <c r="P259" s="1690">
        <v>0</v>
      </c>
      <c r="Q259" s="1690">
        <v>0</v>
      </c>
    </row>
    <row r="260" spans="3:17">
      <c r="C260" s="1623"/>
      <c r="D260" s="1623"/>
      <c r="E260" s="1623" t="s">
        <v>1983</v>
      </c>
      <c r="F260" s="1623" t="s">
        <v>1982</v>
      </c>
      <c r="G260" s="1623"/>
      <c r="H260" s="1623"/>
      <c r="I260" s="1690">
        <v>0</v>
      </c>
      <c r="J260" s="1690">
        <v>0</v>
      </c>
      <c r="K260" s="1690">
        <v>0.35199999999999998</v>
      </c>
      <c r="L260" s="1690">
        <v>0</v>
      </c>
      <c r="M260" s="1690">
        <v>0</v>
      </c>
      <c r="N260" s="1690">
        <v>0.86499999999999999</v>
      </c>
      <c r="O260" s="1690">
        <v>0</v>
      </c>
      <c r="P260" s="1690">
        <v>0</v>
      </c>
      <c r="Q260" s="1690">
        <v>0.95799999999999996</v>
      </c>
    </row>
    <row r="261" spans="3:17">
      <c r="C261" s="1623"/>
      <c r="D261" s="1623"/>
      <c r="E261" s="1623" t="s">
        <v>1984</v>
      </c>
      <c r="F261" s="1623" t="s">
        <v>1985</v>
      </c>
      <c r="G261" s="1623"/>
      <c r="H261" s="1623"/>
      <c r="I261" s="1690">
        <v>0.105</v>
      </c>
      <c r="J261" s="1690">
        <v>0</v>
      </c>
      <c r="K261" s="1690">
        <v>0.105</v>
      </c>
      <c r="L261" s="1690">
        <v>5.0000000000000001E-3</v>
      </c>
      <c r="M261" s="1690">
        <v>0</v>
      </c>
      <c r="N261" s="1690">
        <v>5.0000000000000001E-3</v>
      </c>
      <c r="O261" s="1690">
        <v>7.8E-2</v>
      </c>
      <c r="P261" s="1690">
        <v>0</v>
      </c>
      <c r="Q261" s="1690">
        <v>7.8E-2</v>
      </c>
    </row>
    <row r="262" spans="3:17">
      <c r="C262" s="1691"/>
      <c r="D262" s="1691"/>
      <c r="E262" s="1691" t="s">
        <v>1986</v>
      </c>
      <c r="F262" s="1691" t="s">
        <v>1985</v>
      </c>
      <c r="G262" s="1691"/>
      <c r="H262" s="1691"/>
      <c r="I262" s="1690"/>
      <c r="J262" s="1690">
        <v>0</v>
      </c>
      <c r="K262" s="1690">
        <v>0</v>
      </c>
      <c r="L262" s="1690"/>
      <c r="M262" s="1690">
        <v>0</v>
      </c>
      <c r="N262" s="1690">
        <v>0</v>
      </c>
      <c r="O262" s="1690"/>
      <c r="P262" s="1690">
        <v>0</v>
      </c>
      <c r="Q262" s="1690">
        <v>0</v>
      </c>
    </row>
    <row r="263" spans="3:17">
      <c r="C263" s="1623"/>
      <c r="D263" s="1623"/>
      <c r="E263" s="1623" t="s">
        <v>1987</v>
      </c>
      <c r="F263" s="1623" t="s">
        <v>1985</v>
      </c>
      <c r="G263" s="1623"/>
      <c r="H263" s="1623"/>
      <c r="I263" s="1690">
        <v>4.4999999999999998E-2</v>
      </c>
      <c r="J263" s="1690">
        <v>0</v>
      </c>
      <c r="K263" s="1690">
        <v>4.4999999999999998E-2</v>
      </c>
      <c r="L263" s="1690">
        <v>0.112</v>
      </c>
      <c r="M263" s="1690">
        <v>0</v>
      </c>
      <c r="N263" s="1690">
        <v>0.112</v>
      </c>
      <c r="O263" s="1690">
        <v>0.11</v>
      </c>
      <c r="P263" s="1690">
        <v>0</v>
      </c>
      <c r="Q263" s="1690">
        <v>0.11</v>
      </c>
    </row>
    <row r="264" spans="3:17">
      <c r="C264" s="1623"/>
      <c r="D264" s="1623"/>
      <c r="E264" s="1623" t="s">
        <v>1712</v>
      </c>
      <c r="F264" s="1623" t="s">
        <v>1985</v>
      </c>
      <c r="G264" s="1623"/>
      <c r="H264" s="1623"/>
      <c r="I264" s="1690">
        <v>2E-3</v>
      </c>
      <c r="J264" s="1690">
        <v>0</v>
      </c>
      <c r="K264" s="1690">
        <v>2.3999999999999998E-3</v>
      </c>
      <c r="L264" s="1690">
        <v>1.4999999999999999E-2</v>
      </c>
      <c r="M264" s="1690">
        <v>0</v>
      </c>
      <c r="N264" s="1690">
        <v>1.47E-2</v>
      </c>
      <c r="O264" s="1690">
        <v>1.2E-2</v>
      </c>
      <c r="P264" s="1690">
        <v>0</v>
      </c>
      <c r="Q264" s="1690">
        <v>1.167E-2</v>
      </c>
    </row>
    <row r="265" spans="3:17">
      <c r="C265" s="1623"/>
      <c r="D265" s="1623" t="s">
        <v>1614</v>
      </c>
      <c r="E265" s="1623" t="s">
        <v>1981</v>
      </c>
      <c r="F265" s="1623" t="s">
        <v>1598</v>
      </c>
      <c r="G265" s="1623"/>
      <c r="H265" s="1623"/>
      <c r="I265" s="1690">
        <v>0.34200000000000003</v>
      </c>
      <c r="J265" s="1690">
        <v>0</v>
      </c>
      <c r="K265" s="1690">
        <v>0</v>
      </c>
      <c r="L265" s="1690">
        <v>0.88800000000000001</v>
      </c>
      <c r="M265" s="1690">
        <v>0</v>
      </c>
      <c r="N265" s="1690">
        <v>0</v>
      </c>
      <c r="O265" s="1690">
        <v>0.307</v>
      </c>
      <c r="P265" s="1690">
        <v>0</v>
      </c>
      <c r="Q265" s="1690">
        <v>0</v>
      </c>
    </row>
    <row r="266" spans="3:17">
      <c r="C266" s="1623"/>
      <c r="D266" s="1623"/>
      <c r="E266" s="1623" t="s">
        <v>1983</v>
      </c>
      <c r="F266" s="1623" t="s">
        <v>1982</v>
      </c>
      <c r="G266" s="1623"/>
      <c r="H266" s="1623"/>
      <c r="I266" s="1690">
        <v>0</v>
      </c>
      <c r="J266" s="1690">
        <v>0</v>
      </c>
      <c r="K266" s="1690">
        <v>0.34200000000000003</v>
      </c>
      <c r="L266" s="1690">
        <v>0</v>
      </c>
      <c r="M266" s="1690">
        <v>0</v>
      </c>
      <c r="N266" s="1690">
        <v>0.88800000000000001</v>
      </c>
      <c r="O266" s="1690">
        <v>0</v>
      </c>
      <c r="P266" s="1690">
        <v>0</v>
      </c>
      <c r="Q266" s="1690">
        <v>0.307</v>
      </c>
    </row>
    <row r="267" spans="3:17">
      <c r="C267" s="1623"/>
      <c r="D267" s="1623"/>
      <c r="E267" s="1623" t="s">
        <v>1984</v>
      </c>
      <c r="F267" s="1623" t="s">
        <v>1985</v>
      </c>
      <c r="G267" s="1623"/>
      <c r="H267" s="1623"/>
      <c r="I267" s="1690">
        <v>7.1999999999999995E-2</v>
      </c>
      <c r="J267" s="1690">
        <v>0</v>
      </c>
      <c r="K267" s="1690">
        <v>7.1999999999999995E-2</v>
      </c>
      <c r="L267" s="1690">
        <v>1.7000000000000001E-2</v>
      </c>
      <c r="M267" s="1690">
        <v>0</v>
      </c>
      <c r="N267" s="1690">
        <v>1.7000000000000001E-2</v>
      </c>
      <c r="O267" s="1690">
        <v>7.0999999999999994E-2</v>
      </c>
      <c r="P267" s="1690">
        <v>0</v>
      </c>
      <c r="Q267" s="1690">
        <v>7.0999999999999994E-2</v>
      </c>
    </row>
    <row r="268" spans="3:17">
      <c r="C268" s="1691"/>
      <c r="D268" s="1691"/>
      <c r="E268" s="1691" t="s">
        <v>1986</v>
      </c>
      <c r="F268" s="1691" t="s">
        <v>1985</v>
      </c>
      <c r="G268" s="1691"/>
      <c r="H268" s="1691"/>
      <c r="I268" s="1690"/>
      <c r="J268" s="1690">
        <v>0</v>
      </c>
      <c r="K268" s="1690">
        <v>0</v>
      </c>
      <c r="L268" s="1690"/>
      <c r="M268" s="1690">
        <v>0</v>
      </c>
      <c r="N268" s="1690">
        <v>0</v>
      </c>
      <c r="O268" s="1690"/>
      <c r="P268" s="1690">
        <v>0</v>
      </c>
      <c r="Q268" s="1690">
        <v>0</v>
      </c>
    </row>
    <row r="269" spans="3:17">
      <c r="C269" s="1623"/>
      <c r="D269" s="1623"/>
      <c r="E269" s="1623" t="s">
        <v>1987</v>
      </c>
      <c r="F269" s="1623" t="s">
        <v>1985</v>
      </c>
      <c r="G269" s="1623"/>
      <c r="H269" s="1623"/>
      <c r="I269" s="1690">
        <v>2.4E-2</v>
      </c>
      <c r="J269" s="1690">
        <v>0</v>
      </c>
      <c r="K269" s="1690">
        <v>2.4E-2</v>
      </c>
      <c r="L269" s="1690">
        <v>0.11799999999999999</v>
      </c>
      <c r="M269" s="1690">
        <v>0</v>
      </c>
      <c r="N269" s="1690">
        <v>0.11799999999999999</v>
      </c>
      <c r="O269" s="1690">
        <v>5.2999999999999999E-2</v>
      </c>
      <c r="P269" s="1690">
        <v>0</v>
      </c>
      <c r="Q269" s="1690">
        <v>5.2999999999999999E-2</v>
      </c>
    </row>
    <row r="270" spans="3:17">
      <c r="C270" s="1623"/>
      <c r="D270" s="1623"/>
      <c r="E270" s="1623" t="s">
        <v>1712</v>
      </c>
      <c r="F270" s="1623" t="s">
        <v>1985</v>
      </c>
      <c r="G270" s="1623"/>
      <c r="H270" s="1623"/>
      <c r="I270" s="1690">
        <v>2E-3</v>
      </c>
      <c r="J270" s="1690">
        <v>0</v>
      </c>
      <c r="K270" s="1690">
        <v>1.8600000000000001E-3</v>
      </c>
      <c r="L270" s="1690">
        <v>1.4999999999999999E-2</v>
      </c>
      <c r="M270" s="1690">
        <v>0</v>
      </c>
      <c r="N270" s="1690">
        <v>1.4800000000000001E-2</v>
      </c>
      <c r="O270" s="1690">
        <v>5.0000000000000001E-3</v>
      </c>
      <c r="P270" s="1690">
        <v>0</v>
      </c>
      <c r="Q270" s="1690">
        <v>4.8300000000000001E-3</v>
      </c>
    </row>
    <row r="271" spans="3:17">
      <c r="C271" s="1623"/>
      <c r="D271" s="1623" t="s">
        <v>1713</v>
      </c>
      <c r="E271" s="1623" t="s">
        <v>1981</v>
      </c>
      <c r="F271" s="1623" t="s">
        <v>1982</v>
      </c>
      <c r="G271" s="1623"/>
      <c r="H271" s="1623"/>
      <c r="I271" s="1690">
        <v>0.34200000000000003</v>
      </c>
      <c r="J271" s="1690">
        <v>0</v>
      </c>
      <c r="K271" s="1690">
        <v>0</v>
      </c>
      <c r="L271" s="1690">
        <v>0.88800000000000001</v>
      </c>
      <c r="M271" s="1690">
        <v>0</v>
      </c>
      <c r="N271" s="1690">
        <v>0</v>
      </c>
      <c r="O271" s="1690">
        <v>0.307</v>
      </c>
      <c r="P271" s="1690">
        <v>0</v>
      </c>
      <c r="Q271" s="1690">
        <v>0</v>
      </c>
    </row>
    <row r="272" spans="3:17">
      <c r="C272" s="1623"/>
      <c r="D272" s="1623"/>
      <c r="E272" s="1623" t="s">
        <v>1983</v>
      </c>
      <c r="F272" s="1623" t="s">
        <v>1982</v>
      </c>
      <c r="G272" s="1623"/>
      <c r="H272" s="1623"/>
      <c r="I272" s="1690">
        <v>0</v>
      </c>
      <c r="J272" s="1690">
        <v>0</v>
      </c>
      <c r="K272" s="1690">
        <v>0.34200000000000003</v>
      </c>
      <c r="L272" s="1690">
        <v>0</v>
      </c>
      <c r="M272" s="1690">
        <v>0</v>
      </c>
      <c r="N272" s="1690">
        <v>0.88800000000000001</v>
      </c>
      <c r="O272" s="1690">
        <v>0</v>
      </c>
      <c r="P272" s="1690">
        <v>0</v>
      </c>
      <c r="Q272" s="1690">
        <v>0.307</v>
      </c>
    </row>
    <row r="273" spans="3:17">
      <c r="C273" s="1623"/>
      <c r="D273" s="1623"/>
      <c r="E273" s="1623" t="s">
        <v>1984</v>
      </c>
      <c r="F273" s="1623" t="s">
        <v>1985</v>
      </c>
      <c r="G273" s="1623"/>
      <c r="H273" s="1623"/>
      <c r="I273" s="1690">
        <v>7.1999999999999995E-2</v>
      </c>
      <c r="J273" s="1690">
        <v>0</v>
      </c>
      <c r="K273" s="1690">
        <v>7.1999999999999995E-2</v>
      </c>
      <c r="L273" s="1690">
        <v>1.7000000000000001E-2</v>
      </c>
      <c r="M273" s="1690">
        <v>0</v>
      </c>
      <c r="N273" s="1690">
        <v>1.7000000000000001E-2</v>
      </c>
      <c r="O273" s="1690">
        <v>7.0999999999999994E-2</v>
      </c>
      <c r="P273" s="1690">
        <v>0</v>
      </c>
      <c r="Q273" s="1690">
        <v>7.0999999999999994E-2</v>
      </c>
    </row>
    <row r="274" spans="3:17">
      <c r="C274" s="1691"/>
      <c r="D274" s="1691"/>
      <c r="E274" s="1691" t="s">
        <v>1986</v>
      </c>
      <c r="F274" s="1691" t="s">
        <v>1985</v>
      </c>
      <c r="G274" s="1691"/>
      <c r="H274" s="1691"/>
      <c r="I274" s="1690"/>
      <c r="J274" s="1690">
        <v>0</v>
      </c>
      <c r="K274" s="1690">
        <v>0</v>
      </c>
      <c r="L274" s="1690"/>
      <c r="M274" s="1690">
        <v>0</v>
      </c>
      <c r="N274" s="1690">
        <v>0</v>
      </c>
      <c r="O274" s="1690"/>
      <c r="P274" s="1690">
        <v>0</v>
      </c>
      <c r="Q274" s="1690">
        <v>0</v>
      </c>
    </row>
    <row r="275" spans="3:17">
      <c r="C275" s="1623"/>
      <c r="D275" s="1623"/>
      <c r="E275" s="1623" t="s">
        <v>1987</v>
      </c>
      <c r="F275" s="1623" t="s">
        <v>1985</v>
      </c>
      <c r="G275" s="1623"/>
      <c r="H275" s="1623"/>
      <c r="I275" s="1690">
        <v>2.4E-2</v>
      </c>
      <c r="J275" s="1690">
        <v>0</v>
      </c>
      <c r="K275" s="1690">
        <v>2.4E-2</v>
      </c>
      <c r="L275" s="1690">
        <v>0.11799999999999999</v>
      </c>
      <c r="M275" s="1690">
        <v>0</v>
      </c>
      <c r="N275" s="1690">
        <v>0.11799999999999999</v>
      </c>
      <c r="O275" s="1690">
        <v>5.2999999999999999E-2</v>
      </c>
      <c r="P275" s="1690">
        <v>0</v>
      </c>
      <c r="Q275" s="1690">
        <v>5.2999999999999999E-2</v>
      </c>
    </row>
    <row r="276" spans="3:17">
      <c r="C276" s="1623"/>
      <c r="D276" s="1623"/>
      <c r="E276" s="1623" t="s">
        <v>1712</v>
      </c>
      <c r="F276" s="1623" t="s">
        <v>1985</v>
      </c>
      <c r="G276" s="1623"/>
      <c r="H276" s="1623"/>
      <c r="I276" s="1690">
        <v>2E-3</v>
      </c>
      <c r="J276" s="1690">
        <v>0</v>
      </c>
      <c r="K276" s="1690">
        <v>1.8600000000000001E-3</v>
      </c>
      <c r="L276" s="1690">
        <v>1.4999999999999999E-2</v>
      </c>
      <c r="M276" s="1690">
        <v>0</v>
      </c>
      <c r="N276" s="1690">
        <v>1.4800000000000001E-2</v>
      </c>
      <c r="O276" s="1690">
        <v>5.0000000000000001E-3</v>
      </c>
      <c r="P276" s="1690">
        <v>0</v>
      </c>
      <c r="Q276" s="1690">
        <v>4.8300000000000001E-3</v>
      </c>
    </row>
    <row r="277" spans="3:17">
      <c r="C277" s="1623"/>
      <c r="D277" s="1623" t="s">
        <v>1616</v>
      </c>
      <c r="E277" s="1623" t="s">
        <v>1981</v>
      </c>
      <c r="F277" s="1623" t="s">
        <v>1982</v>
      </c>
      <c r="G277" s="1623"/>
      <c r="H277" s="1623"/>
      <c r="I277" s="1690">
        <v>0.34499999999999997</v>
      </c>
      <c r="J277" s="1690">
        <v>0</v>
      </c>
      <c r="K277" s="1690">
        <v>0</v>
      </c>
      <c r="L277" s="1690">
        <v>0.88800000000000001</v>
      </c>
      <c r="M277" s="1690">
        <v>0</v>
      </c>
      <c r="N277" s="1690">
        <v>0</v>
      </c>
      <c r="O277" s="1690">
        <v>0.86199999999999999</v>
      </c>
      <c r="P277" s="1690">
        <v>0</v>
      </c>
      <c r="Q277" s="1690">
        <v>0</v>
      </c>
    </row>
    <row r="278" spans="3:17">
      <c r="C278" s="1623"/>
      <c r="D278" s="1623"/>
      <c r="E278" s="1623" t="s">
        <v>1983</v>
      </c>
      <c r="F278" s="1623" t="s">
        <v>1982</v>
      </c>
      <c r="G278" s="1623"/>
      <c r="H278" s="1623"/>
      <c r="I278" s="1690">
        <v>0</v>
      </c>
      <c r="J278" s="1690">
        <v>0</v>
      </c>
      <c r="K278" s="1690">
        <v>0.34499999999999997</v>
      </c>
      <c r="L278" s="1690">
        <v>0</v>
      </c>
      <c r="M278" s="1690">
        <v>0</v>
      </c>
      <c r="N278" s="1690">
        <v>0.88800000000000001</v>
      </c>
      <c r="O278" s="1690">
        <v>0</v>
      </c>
      <c r="P278" s="1690">
        <v>0</v>
      </c>
      <c r="Q278" s="1690">
        <v>0.86199999999999999</v>
      </c>
    </row>
    <row r="279" spans="3:17">
      <c r="C279" s="1623"/>
      <c r="D279" s="1623"/>
      <c r="E279" s="1623" t="s">
        <v>1984</v>
      </c>
      <c r="F279" s="1623" t="s">
        <v>1985</v>
      </c>
      <c r="G279" s="1623"/>
      <c r="H279" s="1623"/>
      <c r="I279" s="1690">
        <v>0.13900000000000001</v>
      </c>
      <c r="J279" s="1690">
        <v>0</v>
      </c>
      <c r="K279" s="1690">
        <v>0.13900000000000001</v>
      </c>
      <c r="L279" s="1690">
        <v>1.7000000000000001E-2</v>
      </c>
      <c r="M279" s="1690">
        <v>0</v>
      </c>
      <c r="N279" s="1690">
        <v>1.7000000000000001E-2</v>
      </c>
      <c r="O279" s="1690">
        <v>5.8999999999999997E-2</v>
      </c>
      <c r="P279" s="1690">
        <v>0</v>
      </c>
      <c r="Q279" s="1690">
        <v>5.8999999999999997E-2</v>
      </c>
    </row>
    <row r="280" spans="3:17">
      <c r="C280" s="1691"/>
      <c r="D280" s="1691"/>
      <c r="E280" s="1691" t="s">
        <v>1986</v>
      </c>
      <c r="F280" s="1691" t="s">
        <v>1985</v>
      </c>
      <c r="G280" s="1691"/>
      <c r="H280" s="1691"/>
      <c r="I280" s="1690"/>
      <c r="J280" s="1690">
        <v>0</v>
      </c>
      <c r="K280" s="1690">
        <v>0</v>
      </c>
      <c r="L280" s="1690"/>
      <c r="M280" s="1690">
        <v>0</v>
      </c>
      <c r="N280" s="1690">
        <v>0</v>
      </c>
      <c r="O280" s="1690"/>
      <c r="P280" s="1690">
        <v>0</v>
      </c>
      <c r="Q280" s="1690">
        <v>0</v>
      </c>
    </row>
    <row r="281" spans="3:17">
      <c r="C281" s="1623"/>
      <c r="D281" s="1623"/>
      <c r="E281" s="1623" t="s">
        <v>1987</v>
      </c>
      <c r="F281" s="1623" t="s">
        <v>1985</v>
      </c>
      <c r="G281" s="1623"/>
      <c r="H281" s="1623"/>
      <c r="I281" s="1690">
        <v>0.04</v>
      </c>
      <c r="J281" s="1690">
        <v>0</v>
      </c>
      <c r="K281" s="1690">
        <v>0.04</v>
      </c>
      <c r="L281" s="1690">
        <v>0.11799999999999999</v>
      </c>
      <c r="M281" s="1690">
        <v>0</v>
      </c>
      <c r="N281" s="1690">
        <v>0.11799999999999999</v>
      </c>
      <c r="O281" s="1690">
        <v>0.1</v>
      </c>
      <c r="P281" s="1690">
        <v>0</v>
      </c>
      <c r="Q281" s="1690">
        <v>0.1</v>
      </c>
    </row>
    <row r="282" spans="3:17">
      <c r="C282" s="1623"/>
      <c r="D282" s="1623"/>
      <c r="E282" s="1623" t="s">
        <v>1712</v>
      </c>
      <c r="F282" s="1623" t="s">
        <v>1985</v>
      </c>
      <c r="G282" s="1623"/>
      <c r="H282" s="1623"/>
      <c r="I282" s="1690">
        <v>4.0000000000000001E-3</v>
      </c>
      <c r="J282" s="1690">
        <v>0</v>
      </c>
      <c r="K282" s="1690">
        <v>4.3499999999999997E-3</v>
      </c>
      <c r="L282" s="1690">
        <v>1.4999999999999999E-2</v>
      </c>
      <c r="M282" s="1690">
        <v>0</v>
      </c>
      <c r="N282" s="1690">
        <v>1.4800000000000001E-2</v>
      </c>
      <c r="O282" s="1690">
        <v>1.2E-2</v>
      </c>
      <c r="P282" s="1690">
        <v>0</v>
      </c>
      <c r="Q282" s="1690">
        <v>1.227E-2</v>
      </c>
    </row>
    <row r="283" spans="3:17">
      <c r="C283" s="1623"/>
      <c r="D283" s="1623" t="s">
        <v>372</v>
      </c>
      <c r="E283" s="1623" t="s">
        <v>1981</v>
      </c>
      <c r="F283" s="1623" t="s">
        <v>1982</v>
      </c>
      <c r="G283" s="1623"/>
      <c r="H283" s="1623"/>
      <c r="I283" s="1690">
        <v>0.35399999999999998</v>
      </c>
      <c r="J283" s="1690">
        <v>0</v>
      </c>
      <c r="K283" s="1690">
        <v>0</v>
      </c>
      <c r="L283" s="1690">
        <v>0.77</v>
      </c>
      <c r="M283" s="1690">
        <v>0</v>
      </c>
      <c r="N283" s="1690">
        <v>0</v>
      </c>
      <c r="O283" s="1690">
        <v>0.66900000000000004</v>
      </c>
      <c r="P283" s="1690">
        <v>0</v>
      </c>
      <c r="Q283" s="1690">
        <v>0</v>
      </c>
    </row>
    <row r="284" spans="3:17">
      <c r="C284" s="1623"/>
      <c r="D284" s="1623"/>
      <c r="E284" s="1623" t="s">
        <v>1983</v>
      </c>
      <c r="F284" s="1623" t="s">
        <v>1982</v>
      </c>
      <c r="G284" s="1623"/>
      <c r="H284" s="1623"/>
      <c r="I284" s="1690">
        <v>0</v>
      </c>
      <c r="J284" s="1690">
        <v>0</v>
      </c>
      <c r="K284" s="1690">
        <v>0.35399999999999998</v>
      </c>
      <c r="L284" s="1690">
        <v>0</v>
      </c>
      <c r="M284" s="1690">
        <v>0</v>
      </c>
      <c r="N284" s="1690">
        <v>0.77</v>
      </c>
      <c r="O284" s="1690">
        <v>0</v>
      </c>
      <c r="P284" s="1690">
        <v>0</v>
      </c>
      <c r="Q284" s="1690">
        <v>0.66900000000000004</v>
      </c>
    </row>
    <row r="285" spans="3:17">
      <c r="C285" s="1623"/>
      <c r="D285" s="1623"/>
      <c r="E285" s="1623" t="s">
        <v>1984</v>
      </c>
      <c r="F285" s="1623" t="s">
        <v>1985</v>
      </c>
      <c r="G285" s="1623"/>
      <c r="H285" s="1623"/>
      <c r="I285" s="1690">
        <v>8.7999999999999995E-2</v>
      </c>
      <c r="J285" s="1690">
        <v>0</v>
      </c>
      <c r="K285" s="1690">
        <v>8.7999999999999995E-2</v>
      </c>
      <c r="L285" s="1690">
        <v>0.01</v>
      </c>
      <c r="M285" s="1690">
        <v>0</v>
      </c>
      <c r="N285" s="1690">
        <v>0.01</v>
      </c>
      <c r="O285" s="1690">
        <v>7.6999999999999999E-2</v>
      </c>
      <c r="P285" s="1690">
        <v>0</v>
      </c>
      <c r="Q285" s="1690">
        <v>7.6999999999999999E-2</v>
      </c>
    </row>
    <row r="286" spans="3:17">
      <c r="C286" s="1691"/>
      <c r="D286" s="1691"/>
      <c r="E286" s="1691" t="s">
        <v>1986</v>
      </c>
      <c r="F286" s="1691" t="s">
        <v>1985</v>
      </c>
      <c r="G286" s="1691"/>
      <c r="H286" s="1691"/>
      <c r="I286" s="1690"/>
      <c r="J286" s="1690">
        <v>0</v>
      </c>
      <c r="K286" s="1690">
        <v>0</v>
      </c>
      <c r="L286" s="1690"/>
      <c r="M286" s="1690">
        <v>0</v>
      </c>
      <c r="N286" s="1690">
        <v>0</v>
      </c>
      <c r="O286" s="1690"/>
      <c r="P286" s="1690">
        <v>0</v>
      </c>
      <c r="Q286" s="1690">
        <v>0</v>
      </c>
    </row>
    <row r="287" spans="3:17">
      <c r="C287" s="1623"/>
      <c r="D287" s="1623"/>
      <c r="E287" s="1623" t="s">
        <v>1987</v>
      </c>
      <c r="F287" s="1623" t="s">
        <v>1985</v>
      </c>
      <c r="G287" s="1623"/>
      <c r="H287" s="1623"/>
      <c r="I287" s="1690">
        <v>3.1E-2</v>
      </c>
      <c r="J287" s="1690">
        <v>0</v>
      </c>
      <c r="K287" s="1690">
        <v>3.1E-2</v>
      </c>
      <c r="L287" s="1690">
        <v>0.108</v>
      </c>
      <c r="M287" s="1690">
        <v>0</v>
      </c>
      <c r="N287" s="1690">
        <v>0.108</v>
      </c>
      <c r="O287" s="1690">
        <v>0.08</v>
      </c>
      <c r="P287" s="1690">
        <v>0</v>
      </c>
      <c r="Q287" s="1690">
        <v>0.08</v>
      </c>
    </row>
    <row r="288" spans="3:17">
      <c r="C288" s="1623"/>
      <c r="D288" s="1623"/>
      <c r="E288" s="1623" t="s">
        <v>1712</v>
      </c>
      <c r="F288" s="1623" t="s">
        <v>1985</v>
      </c>
      <c r="G288" s="1623"/>
      <c r="H288" s="1623"/>
      <c r="I288" s="1690">
        <v>2E-3</v>
      </c>
      <c r="J288" s="1690">
        <v>0</v>
      </c>
      <c r="K288" s="1690">
        <v>2.0999999999999999E-3</v>
      </c>
      <c r="L288" s="1690">
        <v>8.9999999999999993E-3</v>
      </c>
      <c r="M288" s="1690">
        <v>0</v>
      </c>
      <c r="N288" s="1690">
        <v>9.1500000000000001E-3</v>
      </c>
      <c r="O288" s="1690">
        <v>7.0000000000000001E-3</v>
      </c>
      <c r="P288" s="1690">
        <v>0</v>
      </c>
      <c r="Q288" s="1690">
        <v>6.6899999999999998E-3</v>
      </c>
    </row>
    <row r="289" spans="3:17">
      <c r="C289" s="1623"/>
      <c r="D289" s="1623" t="s">
        <v>1618</v>
      </c>
      <c r="E289" s="1623" t="s">
        <v>1981</v>
      </c>
      <c r="F289" s="1623" t="s">
        <v>1982</v>
      </c>
      <c r="G289" s="1623"/>
      <c r="H289" s="1623"/>
      <c r="I289" s="1690">
        <v>0.317</v>
      </c>
      <c r="J289" s="1690">
        <v>0</v>
      </c>
      <c r="K289" s="1690">
        <v>0</v>
      </c>
      <c r="L289" s="1690">
        <v>0.76600000000000001</v>
      </c>
      <c r="M289" s="1690">
        <v>0</v>
      </c>
      <c r="N289" s="1690">
        <v>0</v>
      </c>
      <c r="O289" s="1690">
        <v>0.81200000000000006</v>
      </c>
      <c r="P289" s="1690">
        <v>0</v>
      </c>
      <c r="Q289" s="1690">
        <v>0</v>
      </c>
    </row>
    <row r="290" spans="3:17">
      <c r="C290" s="1623"/>
      <c r="D290" s="1623"/>
      <c r="E290" s="1623" t="s">
        <v>1983</v>
      </c>
      <c r="F290" s="1623" t="s">
        <v>1982</v>
      </c>
      <c r="G290" s="1623"/>
      <c r="H290" s="1623"/>
      <c r="I290" s="1690">
        <v>0</v>
      </c>
      <c r="J290" s="1690">
        <v>0</v>
      </c>
      <c r="K290" s="1690">
        <v>0.317</v>
      </c>
      <c r="L290" s="1690">
        <v>0</v>
      </c>
      <c r="M290" s="1690">
        <v>0</v>
      </c>
      <c r="N290" s="1690">
        <v>0.76600000000000001</v>
      </c>
      <c r="O290" s="1690">
        <v>0</v>
      </c>
      <c r="P290" s="1690">
        <v>0</v>
      </c>
      <c r="Q290" s="1690">
        <v>0.81200000000000006</v>
      </c>
    </row>
    <row r="291" spans="3:17">
      <c r="C291" s="1623"/>
      <c r="D291" s="1623"/>
      <c r="E291" s="1623" t="s">
        <v>1984</v>
      </c>
      <c r="F291" s="1623" t="s">
        <v>1985</v>
      </c>
      <c r="G291" s="1623"/>
      <c r="H291" s="1623"/>
      <c r="I291" s="1690">
        <v>7.3999999999999996E-2</v>
      </c>
      <c r="J291" s="1690">
        <v>0</v>
      </c>
      <c r="K291" s="1690">
        <v>7.3999999999999996E-2</v>
      </c>
      <c r="L291" s="1690">
        <v>1.2E-2</v>
      </c>
      <c r="M291" s="1690">
        <v>0</v>
      </c>
      <c r="N291" s="1690">
        <v>1.2E-2</v>
      </c>
      <c r="O291" s="1690">
        <v>0.66</v>
      </c>
      <c r="P291" s="1690">
        <v>0</v>
      </c>
      <c r="Q291" s="1690">
        <v>6.6000000000000003E-2</v>
      </c>
    </row>
    <row r="292" spans="3:17">
      <c r="C292" s="1691"/>
      <c r="D292" s="1691"/>
      <c r="E292" s="1691" t="s">
        <v>1986</v>
      </c>
      <c r="F292" s="1691" t="s">
        <v>1985</v>
      </c>
      <c r="G292" s="1691"/>
      <c r="H292" s="1691"/>
      <c r="I292" s="1690"/>
      <c r="J292" s="1690">
        <v>0</v>
      </c>
      <c r="K292" s="1690">
        <v>0</v>
      </c>
      <c r="L292" s="1690"/>
      <c r="M292" s="1690">
        <v>0</v>
      </c>
      <c r="N292" s="1690">
        <v>0</v>
      </c>
      <c r="O292" s="1690"/>
      <c r="P292" s="1690">
        <v>0</v>
      </c>
      <c r="Q292" s="1690">
        <v>0</v>
      </c>
    </row>
    <row r="293" spans="3:17">
      <c r="C293" s="1623"/>
      <c r="D293" s="1623"/>
      <c r="E293" s="1623" t="s">
        <v>1987</v>
      </c>
      <c r="F293" s="1623" t="s">
        <v>1985</v>
      </c>
      <c r="G293" s="1623"/>
      <c r="H293" s="1623"/>
      <c r="I293" s="1690">
        <v>3.4000000000000002E-2</v>
      </c>
      <c r="J293" s="1690">
        <v>0</v>
      </c>
      <c r="K293" s="1690">
        <v>3.4000000000000002E-2</v>
      </c>
      <c r="L293" s="1690">
        <v>9.6000000000000002E-2</v>
      </c>
      <c r="M293" s="1690">
        <v>0</v>
      </c>
      <c r="N293" s="1690">
        <v>9.6000000000000002E-2</v>
      </c>
      <c r="O293" s="1690">
        <v>8.8999999999999996E-2</v>
      </c>
      <c r="P293" s="1690">
        <v>0</v>
      </c>
      <c r="Q293" s="1690">
        <v>8.8999999999999996E-2</v>
      </c>
    </row>
    <row r="294" spans="3:17">
      <c r="C294" s="1623"/>
      <c r="D294" s="1623"/>
      <c r="E294" s="1623" t="s">
        <v>1712</v>
      </c>
      <c r="F294" s="1623" t="s">
        <v>1985</v>
      </c>
      <c r="G294" s="1623"/>
      <c r="H294" s="1623"/>
      <c r="I294" s="1690">
        <v>2E-3</v>
      </c>
      <c r="J294" s="1690">
        <v>0</v>
      </c>
      <c r="K294" s="1690">
        <v>2E-3</v>
      </c>
      <c r="L294" s="1690">
        <v>1.2999999999999999E-2</v>
      </c>
      <c r="M294" s="1690">
        <v>0</v>
      </c>
      <c r="N294" s="1690">
        <v>1.2999999999999999E-2</v>
      </c>
      <c r="O294" s="1690">
        <v>0.01</v>
      </c>
      <c r="P294" s="1690">
        <v>0</v>
      </c>
      <c r="Q294" s="1690">
        <v>9.6900000000000007E-3</v>
      </c>
    </row>
    <row r="295" spans="3:17">
      <c r="C295" s="1623"/>
      <c r="D295" s="1623" t="s">
        <v>545</v>
      </c>
      <c r="E295" s="1623" t="s">
        <v>1981</v>
      </c>
      <c r="F295" s="1623" t="s">
        <v>1982</v>
      </c>
      <c r="G295" s="1623"/>
      <c r="H295" s="1623"/>
      <c r="I295" s="1690">
        <v>0.436</v>
      </c>
      <c r="J295" s="1690">
        <v>0</v>
      </c>
      <c r="K295" s="1690">
        <v>0</v>
      </c>
      <c r="L295" s="1690">
        <v>0.999</v>
      </c>
      <c r="M295" s="1690">
        <v>0</v>
      </c>
      <c r="N295" s="1690">
        <v>0</v>
      </c>
      <c r="O295" s="1690">
        <v>0.81599999999999995</v>
      </c>
      <c r="P295" s="1690">
        <v>0</v>
      </c>
      <c r="Q295" s="1690">
        <v>0</v>
      </c>
    </row>
    <row r="296" spans="3:17">
      <c r="C296" s="1623"/>
      <c r="D296" s="1623"/>
      <c r="E296" s="1623" t="s">
        <v>1983</v>
      </c>
      <c r="F296" s="1623" t="s">
        <v>1982</v>
      </c>
      <c r="G296" s="1623"/>
      <c r="H296" s="1623"/>
      <c r="I296" s="1690">
        <v>0</v>
      </c>
      <c r="J296" s="1690">
        <v>0</v>
      </c>
      <c r="K296" s="1690">
        <v>0.436</v>
      </c>
      <c r="L296" s="1690">
        <v>0</v>
      </c>
      <c r="M296" s="1690">
        <v>0</v>
      </c>
      <c r="N296" s="1690">
        <v>0.999</v>
      </c>
      <c r="O296" s="1690">
        <v>0</v>
      </c>
      <c r="P296" s="1690">
        <v>0</v>
      </c>
      <c r="Q296" s="1690">
        <v>0.81599999999999995</v>
      </c>
    </row>
    <row r="297" spans="3:17">
      <c r="C297" s="1623"/>
      <c r="D297" s="1623"/>
      <c r="E297" s="1623" t="s">
        <v>1984</v>
      </c>
      <c r="F297" s="1623" t="s">
        <v>1985</v>
      </c>
      <c r="G297" s="1623"/>
      <c r="H297" s="1623"/>
      <c r="I297" s="1690">
        <v>0.10299999999999999</v>
      </c>
      <c r="J297" s="1690">
        <v>0</v>
      </c>
      <c r="K297" s="1690">
        <v>0.10299999999999999</v>
      </c>
      <c r="L297" s="1690">
        <v>4.0000000000000001E-3</v>
      </c>
      <c r="M297" s="1690">
        <v>0</v>
      </c>
      <c r="N297" s="1690">
        <v>4.0000000000000001E-3</v>
      </c>
      <c r="O297" s="1690">
        <v>8.4000000000000005E-2</v>
      </c>
      <c r="P297" s="1690">
        <v>0</v>
      </c>
      <c r="Q297" s="1690">
        <v>8.4000000000000005E-2</v>
      </c>
    </row>
    <row r="298" spans="3:17">
      <c r="C298" s="1691"/>
      <c r="D298" s="1691"/>
      <c r="E298" s="1691" t="s">
        <v>1986</v>
      </c>
      <c r="F298" s="1691" t="s">
        <v>1985</v>
      </c>
      <c r="G298" s="1691"/>
      <c r="H298" s="1691"/>
      <c r="I298" s="1690"/>
      <c r="J298" s="1690">
        <v>0</v>
      </c>
      <c r="K298" s="1690">
        <v>0</v>
      </c>
      <c r="L298" s="1690"/>
      <c r="M298" s="1690">
        <v>0</v>
      </c>
      <c r="N298" s="1690">
        <v>0</v>
      </c>
      <c r="O298" s="1690"/>
      <c r="P298" s="1690">
        <v>0</v>
      </c>
      <c r="Q298" s="1690">
        <v>0</v>
      </c>
    </row>
    <row r="299" spans="3:17">
      <c r="C299" s="1623"/>
      <c r="D299" s="1623"/>
      <c r="E299" s="1623" t="s">
        <v>1987</v>
      </c>
      <c r="F299" s="1623" t="s">
        <v>1985</v>
      </c>
      <c r="G299" s="1623"/>
      <c r="H299" s="1623"/>
      <c r="I299" s="1690">
        <v>3.4000000000000002E-2</v>
      </c>
      <c r="J299" s="1690">
        <v>0</v>
      </c>
      <c r="K299" s="1690">
        <v>3.4000000000000002E-2</v>
      </c>
      <c r="L299" s="1690">
        <v>0.111</v>
      </c>
      <c r="M299" s="1690">
        <v>0</v>
      </c>
      <c r="N299" s="1690">
        <v>0.111</v>
      </c>
      <c r="O299" s="1690">
        <v>9.2999999999999999E-2</v>
      </c>
      <c r="P299" s="1690">
        <v>0</v>
      </c>
      <c r="Q299" s="1690">
        <v>9.2999999999999999E-2</v>
      </c>
    </row>
    <row r="300" spans="3:17">
      <c r="C300" s="1623"/>
      <c r="D300" s="1623"/>
      <c r="E300" s="1623" t="s">
        <v>1712</v>
      </c>
      <c r="F300" s="1623" t="s">
        <v>1985</v>
      </c>
      <c r="G300" s="1623"/>
      <c r="H300" s="1623"/>
      <c r="I300" s="1690">
        <v>5.0000000000000001E-3</v>
      </c>
      <c r="J300" s="1690">
        <v>0</v>
      </c>
      <c r="K300" s="1690">
        <v>4.7099999999999998E-3</v>
      </c>
      <c r="L300" s="1690">
        <v>1.4E-2</v>
      </c>
      <c r="M300" s="1690">
        <v>0</v>
      </c>
      <c r="N300" s="1690">
        <v>1.434E-2</v>
      </c>
      <c r="O300" s="1690">
        <v>1.2E-2</v>
      </c>
      <c r="P300" s="1690">
        <v>0</v>
      </c>
      <c r="Q300" s="1690">
        <v>1.248E-2</v>
      </c>
    </row>
    <row r="301" spans="3:17">
      <c r="C301" s="1623"/>
      <c r="D301" s="1623" t="s">
        <v>1714</v>
      </c>
      <c r="E301" s="1623" t="s">
        <v>1981</v>
      </c>
      <c r="F301" s="1623" t="s">
        <v>1982</v>
      </c>
      <c r="G301" s="1623"/>
      <c r="H301" s="1623"/>
      <c r="I301" s="1690">
        <v>0.32300000000000001</v>
      </c>
      <c r="J301" s="1690">
        <v>0</v>
      </c>
      <c r="K301" s="1690">
        <v>0</v>
      </c>
      <c r="L301" s="1690">
        <v>0.73399999999999999</v>
      </c>
      <c r="M301" s="1690">
        <v>0</v>
      </c>
      <c r="N301" s="1690">
        <v>0</v>
      </c>
      <c r="O301" s="1690">
        <v>0.75</v>
      </c>
      <c r="P301" s="1690">
        <v>0</v>
      </c>
      <c r="Q301" s="1690">
        <v>0</v>
      </c>
    </row>
    <row r="302" spans="3:17">
      <c r="C302" s="1623"/>
      <c r="D302" s="1623"/>
      <c r="E302" s="1623" t="s">
        <v>1983</v>
      </c>
      <c r="F302" s="1623" t="s">
        <v>1982</v>
      </c>
      <c r="G302" s="1623"/>
      <c r="H302" s="1623"/>
      <c r="I302" s="1690">
        <v>0</v>
      </c>
      <c r="J302" s="1690">
        <v>0</v>
      </c>
      <c r="K302" s="1690">
        <v>0.32300000000000001</v>
      </c>
      <c r="L302" s="1690">
        <v>0</v>
      </c>
      <c r="M302" s="1690">
        <v>0</v>
      </c>
      <c r="N302" s="1690">
        <v>0.73399999999999999</v>
      </c>
      <c r="O302" s="1690">
        <v>0</v>
      </c>
      <c r="P302" s="1690">
        <v>0</v>
      </c>
      <c r="Q302" s="1690">
        <v>0.75</v>
      </c>
    </row>
    <row r="303" spans="3:17">
      <c r="C303" s="1623"/>
      <c r="D303" s="1623"/>
      <c r="E303" s="1623" t="s">
        <v>1984</v>
      </c>
      <c r="F303" s="1623" t="s">
        <v>1985</v>
      </c>
      <c r="G303" s="1623"/>
      <c r="H303" s="1623"/>
      <c r="I303" s="1690">
        <v>4.8000000000000001E-2</v>
      </c>
      <c r="J303" s="1690">
        <v>0</v>
      </c>
      <c r="K303" s="1690">
        <v>4.8000000000000001E-2</v>
      </c>
      <c r="L303" s="1690">
        <v>1.2E-2</v>
      </c>
      <c r="M303" s="1690">
        <v>0</v>
      </c>
      <c r="N303" s="1690">
        <v>1.2E-2</v>
      </c>
      <c r="O303" s="1690">
        <v>5.1999999999999998E-2</v>
      </c>
      <c r="P303" s="1690">
        <v>0</v>
      </c>
      <c r="Q303" s="1690">
        <v>5.1999999999999998E-2</v>
      </c>
    </row>
    <row r="304" spans="3:17">
      <c r="C304" s="1691"/>
      <c r="D304" s="1691"/>
      <c r="E304" s="1691" t="s">
        <v>1986</v>
      </c>
      <c r="F304" s="1691" t="s">
        <v>1985</v>
      </c>
      <c r="G304" s="1691"/>
      <c r="H304" s="1691"/>
      <c r="I304" s="1690"/>
      <c r="J304" s="1690">
        <v>0</v>
      </c>
      <c r="K304" s="1690">
        <v>0</v>
      </c>
      <c r="L304" s="1690"/>
      <c r="M304" s="1690">
        <v>0</v>
      </c>
      <c r="N304" s="1690">
        <v>0</v>
      </c>
      <c r="O304" s="1690"/>
      <c r="P304" s="1690">
        <v>0</v>
      </c>
      <c r="Q304" s="1690">
        <v>0</v>
      </c>
    </row>
    <row r="305" spans="3:17">
      <c r="C305" s="1623"/>
      <c r="D305" s="1623"/>
      <c r="E305" s="1623" t="s">
        <v>1987</v>
      </c>
      <c r="F305" s="1623" t="s">
        <v>1985</v>
      </c>
      <c r="G305" s="1623"/>
      <c r="H305" s="1623"/>
      <c r="I305" s="1690">
        <v>1.9E-2</v>
      </c>
      <c r="J305" s="1690">
        <v>0</v>
      </c>
      <c r="K305" s="1690">
        <v>1.9E-2</v>
      </c>
      <c r="L305" s="1690">
        <v>0.1</v>
      </c>
      <c r="M305" s="1690">
        <v>0</v>
      </c>
      <c r="N305" s="1690">
        <v>0.1</v>
      </c>
      <c r="O305" s="1690">
        <v>0.13600000000000001</v>
      </c>
      <c r="P305" s="1690">
        <v>0</v>
      </c>
      <c r="Q305" s="1690">
        <v>0.13600000000000001</v>
      </c>
    </row>
    <row r="306" spans="3:17">
      <c r="C306" s="1623"/>
      <c r="D306" s="1623"/>
      <c r="E306" s="1623" t="s">
        <v>1712</v>
      </c>
      <c r="F306" s="1623" t="s">
        <v>1985</v>
      </c>
      <c r="G306" s="1623"/>
      <c r="H306" s="1623"/>
      <c r="I306" s="1690">
        <v>2E-3</v>
      </c>
      <c r="J306" s="1690">
        <v>0</v>
      </c>
      <c r="K306" s="1690">
        <v>1.98E-3</v>
      </c>
      <c r="L306" s="1690">
        <v>1.2999999999999999E-2</v>
      </c>
      <c r="M306" s="1690">
        <v>0</v>
      </c>
      <c r="N306" s="1690">
        <v>1.329E-2</v>
      </c>
      <c r="O306" s="1690">
        <v>0.125</v>
      </c>
      <c r="P306" s="1690">
        <v>0</v>
      </c>
      <c r="Q306" s="1690">
        <v>0.12509999999999999</v>
      </c>
    </row>
    <row r="307" spans="3:17">
      <c r="C307" s="1628" t="s">
        <v>2148</v>
      </c>
      <c r="D307" s="1628"/>
      <c r="E307" s="1623"/>
      <c r="F307" s="1623"/>
      <c r="G307" s="1623"/>
      <c r="H307" s="1623"/>
      <c r="I307" s="1623"/>
      <c r="J307" s="1688"/>
      <c r="K307" s="1688"/>
      <c r="L307" s="1688"/>
      <c r="M307" s="1688"/>
      <c r="N307" s="1688"/>
      <c r="O307" s="1688"/>
      <c r="P307" s="1688"/>
      <c r="Q307" s="1688"/>
    </row>
    <row r="308" spans="3:17">
      <c r="C308" s="1623"/>
      <c r="D308" s="1628" t="s">
        <v>2149</v>
      </c>
      <c r="E308" s="1623"/>
      <c r="F308" s="1623"/>
      <c r="G308" s="1623"/>
      <c r="H308" s="1623"/>
      <c r="I308" s="1683">
        <v>25</v>
      </c>
      <c r="J308" s="1688" t="s">
        <v>2150</v>
      </c>
      <c r="K308" s="1688"/>
      <c r="L308" s="1688"/>
      <c r="M308" s="1688"/>
      <c r="N308" s="1688"/>
      <c r="O308" s="1688"/>
      <c r="P308" s="1688"/>
      <c r="Q308" s="1688"/>
    </row>
    <row r="309" spans="3:17" hidden="1">
      <c r="C309" s="1623"/>
      <c r="D309" s="1638" t="s">
        <v>2151</v>
      </c>
      <c r="E309" s="1623"/>
      <c r="F309" s="1623"/>
      <c r="G309" s="1623"/>
      <c r="H309" s="1623"/>
      <c r="I309" s="1683"/>
      <c r="J309" s="1688"/>
      <c r="K309" s="1688"/>
      <c r="L309" s="1688"/>
      <c r="M309" s="1688"/>
      <c r="N309" s="1688"/>
      <c r="O309" s="1688"/>
      <c r="P309" s="1688"/>
      <c r="Q309" s="1688"/>
    </row>
    <row r="310" spans="3:17">
      <c r="C310" s="1623"/>
      <c r="D310" s="1628" t="s">
        <v>2152</v>
      </c>
      <c r="E310" s="1623"/>
      <c r="F310" s="1628"/>
      <c r="G310" s="1623"/>
      <c r="H310" s="1623"/>
      <c r="I310" s="1683">
        <v>18</v>
      </c>
      <c r="J310" s="1688" t="s">
        <v>2150</v>
      </c>
      <c r="K310" s="1688"/>
      <c r="L310" s="1688"/>
      <c r="M310" s="1688"/>
      <c r="N310" s="1688"/>
      <c r="O310" s="1688"/>
      <c r="P310" s="1688"/>
      <c r="Q310" s="1688"/>
    </row>
    <row r="311" spans="3:17">
      <c r="C311" s="1623"/>
      <c r="D311" s="1628" t="s">
        <v>2153</v>
      </c>
      <c r="E311" s="1623"/>
      <c r="F311" s="1628"/>
      <c r="G311" s="1623"/>
      <c r="H311" s="1623"/>
      <c r="I311" s="1683">
        <v>15</v>
      </c>
      <c r="J311" s="1688" t="s">
        <v>2150</v>
      </c>
      <c r="K311" s="1688"/>
      <c r="L311" s="1688"/>
      <c r="M311" s="1688"/>
      <c r="N311" s="1688"/>
      <c r="O311" s="1688"/>
      <c r="P311" s="1688"/>
      <c r="Q311" s="1688"/>
    </row>
    <row r="312" spans="3:17">
      <c r="C312" s="1623"/>
      <c r="D312" s="1628"/>
      <c r="E312" s="1623"/>
      <c r="F312" s="1623"/>
      <c r="G312" s="1623"/>
      <c r="H312" s="1623"/>
      <c r="I312" s="1623"/>
      <c r="J312" s="1623"/>
      <c r="K312" s="1688"/>
      <c r="L312" s="1688"/>
      <c r="M312" s="1688"/>
      <c r="N312" s="1688"/>
      <c r="O312" s="1688"/>
      <c r="P312" s="1688"/>
      <c r="Q312" s="1688"/>
    </row>
    <row r="313" spans="3:17">
      <c r="C313" s="1623" t="s">
        <v>2154</v>
      </c>
      <c r="D313" s="1623"/>
      <c r="E313" s="1623"/>
      <c r="F313" s="1623"/>
      <c r="G313" s="1623"/>
      <c r="H313" s="1623"/>
      <c r="I313" s="1623"/>
      <c r="J313" s="1623"/>
      <c r="K313" s="1623"/>
      <c r="L313" s="1623"/>
      <c r="M313" s="1623"/>
      <c r="N313" s="1623"/>
      <c r="O313" s="1623"/>
      <c r="P313" s="1623"/>
      <c r="Q313" s="1623"/>
    </row>
    <row r="314" spans="3:17">
      <c r="C314" s="1623"/>
      <c r="D314" s="1623" t="s">
        <v>2149</v>
      </c>
      <c r="E314" s="1623"/>
      <c r="F314" s="1623"/>
      <c r="G314" s="1623"/>
      <c r="H314" s="1623"/>
      <c r="I314" s="1682">
        <v>0.01</v>
      </c>
      <c r="J314" s="1623" t="s">
        <v>2155</v>
      </c>
      <c r="K314" s="1623"/>
      <c r="L314" s="1623"/>
      <c r="M314" s="1623"/>
      <c r="N314" s="1623"/>
      <c r="O314" s="1623"/>
      <c r="P314" s="1623"/>
      <c r="Q314" s="1623"/>
    </row>
    <row r="315" spans="3:17">
      <c r="C315" s="1623"/>
      <c r="D315" s="1623" t="s">
        <v>2152</v>
      </c>
      <c r="E315" s="1623"/>
      <c r="F315" s="1623"/>
      <c r="G315" s="1623"/>
      <c r="H315" s="1623"/>
      <c r="I315" s="1682">
        <v>0.01</v>
      </c>
      <c r="J315" s="1623" t="s">
        <v>2155</v>
      </c>
      <c r="K315" s="1623"/>
      <c r="L315" s="1623"/>
      <c r="M315" s="1623"/>
      <c r="N315" s="1623"/>
      <c r="O315" s="1623"/>
      <c r="P315" s="1623"/>
      <c r="Q315" s="1623"/>
    </row>
    <row r="316" spans="3:17">
      <c r="C316" s="1623"/>
      <c r="D316" s="1623" t="s">
        <v>2153</v>
      </c>
      <c r="E316" s="1623"/>
      <c r="F316" s="1623"/>
      <c r="G316" s="1623"/>
      <c r="H316" s="1623"/>
      <c r="I316" s="1682">
        <v>0.02</v>
      </c>
      <c r="J316" s="1623" t="s">
        <v>2155</v>
      </c>
      <c r="K316" s="1623"/>
      <c r="L316" s="1623"/>
      <c r="M316" s="1623"/>
      <c r="N316" s="1623"/>
      <c r="O316" s="1623"/>
      <c r="P316" s="1623"/>
      <c r="Q316" s="1623"/>
    </row>
    <row r="317" spans="3:17"/>
  </sheetData>
  <sheetProtection algorithmName="SHA-512" hashValue="oaIBIm0qh7aj/0pCRziDHPWgl6TyB0kPxKcOW0ZmSZHf0/5p3ely/vV3HqwbF9jUJpUgkCKpnNYIEmpF32WJPA==" saltValue="D4dL+KqVlr2/WiZ9psDNgg==" spinCount="100000" sheet="1" objects="1" scenarios="1" selectLockedCells="1"/>
  <phoneticPr fontId="21"/>
  <conditionalFormatting sqref="D4 D63 D6">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60" fitToHeight="0" orientation="portrait" verticalDpi="300" r:id="rId1"/>
  <headerFooter alignWithMargins="0">
    <oddHeader>&amp;L&amp;F&amp;R&amp;A</oddHeader>
    <oddFooter>&amp;C&amp;P/&amp;N</oddFooter>
  </headerFooter>
  <rowBreaks count="2" manualBreakCount="2">
    <brk id="92" max="17" man="1"/>
    <brk id="237"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U212"/>
  <sheetViews>
    <sheetView showGridLines="0" topLeftCell="A22" workbookViewId="0">
      <selection activeCell="L8" sqref="L8:O17"/>
    </sheetView>
  </sheetViews>
  <sheetFormatPr defaultColWidth="0" defaultRowHeight="0" customHeight="1" zeroHeight="1"/>
  <cols>
    <col min="1" max="1" width="0.75" style="152" customWidth="1"/>
    <col min="2" max="2" width="2.125" style="170" customWidth="1"/>
    <col min="3" max="3" width="13.375" style="170" customWidth="1"/>
    <col min="4" max="4" width="5.375" style="171" customWidth="1"/>
    <col min="5" max="5" width="9.75" style="534" customWidth="1"/>
    <col min="6" max="6" width="6.25" style="508" customWidth="1"/>
    <col min="7" max="7" width="6.5" style="508" customWidth="1"/>
    <col min="8" max="8" width="13.125" style="508" customWidth="1"/>
    <col min="9" max="9" width="6.875" style="509" customWidth="1"/>
    <col min="10" max="10" width="12.125" style="509" customWidth="1"/>
    <col min="11" max="12" width="11.875" style="508" customWidth="1"/>
    <col min="13" max="13" width="11.75" style="511" customWidth="1"/>
    <col min="14" max="14" width="8.625" style="511" customWidth="1"/>
    <col min="15" max="15" width="11.5" style="511" customWidth="1"/>
    <col min="16" max="16" width="0.75" style="152" customWidth="1"/>
    <col min="17" max="17" width="3.875" style="152" bestFit="1" customWidth="1"/>
    <col min="18" max="18" width="9.875" style="162" hidden="1" customWidth="1"/>
    <col min="19" max="19" width="9.875" style="520" hidden="1" customWidth="1"/>
    <col min="20" max="20" width="9.875" style="162" hidden="1" customWidth="1"/>
    <col min="21" max="21" width="9.125" style="162" hidden="1" customWidth="1"/>
    <col min="22" max="22" width="14.5" style="162" hidden="1" customWidth="1"/>
    <col min="23" max="23" width="11.125" style="162" hidden="1" customWidth="1"/>
    <col min="24" max="24" width="20.5" style="162" hidden="1" customWidth="1"/>
    <col min="25" max="25" width="18.625" style="162" hidden="1" customWidth="1"/>
    <col min="26" max="26" width="23" style="162" hidden="1" customWidth="1"/>
    <col min="27" max="27" width="4.5" style="162" hidden="1" customWidth="1"/>
    <col min="28" max="28" width="6.375" style="162" hidden="1" customWidth="1"/>
    <col min="29" max="29" width="6.375" style="494" hidden="1" customWidth="1"/>
    <col min="30" max="31" width="5" style="494" hidden="1" customWidth="1"/>
    <col min="32" max="32" width="5.125" style="494" hidden="1" customWidth="1"/>
    <col min="33" max="47" width="0" style="494" hidden="1" customWidth="1"/>
    <col min="48" max="16384" width="9" style="494" hidden="1"/>
  </cols>
  <sheetData>
    <row r="1" spans="1:33" s="150" customFormat="1" ht="6" customHeight="1" thickBot="1">
      <c r="A1" s="142"/>
      <c r="B1" s="143"/>
      <c r="C1" s="144"/>
      <c r="D1" s="145"/>
      <c r="E1" s="146"/>
      <c r="F1" s="147"/>
      <c r="G1" s="147"/>
      <c r="H1" s="147"/>
      <c r="I1" s="148"/>
      <c r="J1" s="148"/>
      <c r="K1" s="147"/>
      <c r="L1" s="149"/>
      <c r="M1" s="146"/>
      <c r="N1" s="146"/>
      <c r="O1" s="142"/>
      <c r="P1" s="142"/>
      <c r="Q1" s="142"/>
      <c r="S1" s="151"/>
    </row>
    <row r="2" spans="1:33" s="162" customFormat="1" ht="18.75" customHeight="1" thickTop="1">
      <c r="A2" s="152"/>
      <c r="B2" s="153"/>
      <c r="C2" s="154"/>
      <c r="D2" s="155"/>
      <c r="E2" s="156"/>
      <c r="F2" s="157"/>
      <c r="G2" s="157"/>
      <c r="H2" s="157"/>
      <c r="I2" s="158"/>
      <c r="J2" s="159"/>
      <c r="K2" s="159"/>
      <c r="L2" s="159"/>
      <c r="M2" s="159"/>
      <c r="N2" s="157"/>
      <c r="O2" s="160"/>
      <c r="P2" s="152"/>
      <c r="Q2" s="3464" t="s">
        <v>1848</v>
      </c>
      <c r="R2" s="161"/>
      <c r="S2" s="161"/>
      <c r="T2" s="161"/>
      <c r="U2" s="161"/>
      <c r="V2" s="161"/>
      <c r="W2" s="161"/>
      <c r="X2" s="161"/>
      <c r="Y2" s="161"/>
      <c r="Z2" s="161"/>
      <c r="AA2" s="161"/>
      <c r="AB2" s="161"/>
    </row>
    <row r="3" spans="1:33" s="162" customFormat="1" ht="18.75" customHeight="1">
      <c r="A3" s="152"/>
      <c r="B3" s="153"/>
      <c r="C3" s="154"/>
      <c r="D3" s="155"/>
      <c r="E3" s="156"/>
      <c r="F3" s="157"/>
      <c r="G3" s="157"/>
      <c r="H3" s="157"/>
      <c r="I3" s="158"/>
      <c r="J3" s="159"/>
      <c r="K3" s="159"/>
      <c r="L3" s="159"/>
      <c r="M3" s="159"/>
      <c r="N3" s="157"/>
      <c r="O3" s="163"/>
      <c r="P3" s="152"/>
      <c r="Q3" s="3465"/>
      <c r="R3" s="161"/>
      <c r="S3" s="161"/>
      <c r="T3" s="161"/>
      <c r="U3" s="161"/>
      <c r="V3" s="161"/>
      <c r="W3" s="161"/>
      <c r="X3" s="161"/>
      <c r="Y3" s="161"/>
      <c r="Z3" s="161"/>
      <c r="AA3" s="161"/>
      <c r="AB3" s="161"/>
    </row>
    <row r="4" spans="1:33" s="162" customFormat="1" ht="18.75" customHeight="1">
      <c r="A4" s="152"/>
      <c r="B4" s="153"/>
      <c r="C4" s="154"/>
      <c r="D4" s="155"/>
      <c r="E4" s="156"/>
      <c r="F4" s="157"/>
      <c r="G4" s="157"/>
      <c r="H4" s="157"/>
      <c r="I4" s="164"/>
      <c r="J4" s="159"/>
      <c r="K4" s="159"/>
      <c r="L4" s="159"/>
      <c r="M4" s="159"/>
      <c r="N4" s="157"/>
      <c r="O4" s="160"/>
      <c r="P4" s="152"/>
      <c r="Q4" s="3465"/>
      <c r="R4" s="161"/>
      <c r="S4" s="161"/>
      <c r="T4" s="161"/>
      <c r="U4" s="161"/>
      <c r="V4" s="161"/>
      <c r="W4" s="161"/>
      <c r="X4" s="161"/>
      <c r="Y4" s="161"/>
      <c r="Z4" s="161"/>
      <c r="AA4" s="161"/>
      <c r="AB4" s="161"/>
    </row>
    <row r="5" spans="1:33" s="162" customFormat="1" ht="13.5" customHeight="1" thickBot="1">
      <c r="A5" s="152"/>
      <c r="B5" s="165"/>
      <c r="C5" s="166"/>
      <c r="D5" s="155"/>
      <c r="E5" s="156"/>
      <c r="F5" s="157"/>
      <c r="G5" s="157"/>
      <c r="H5" s="157"/>
      <c r="I5" s="167"/>
      <c r="J5" s="168" t="s">
        <v>1770</v>
      </c>
      <c r="K5" s="3467" t="str">
        <f>メイン!C6</f>
        <v>CASBEE-京都-建築(新築)2018年版</v>
      </c>
      <c r="L5" s="3468"/>
      <c r="M5" s="168" t="s">
        <v>1849</v>
      </c>
      <c r="N5" s="3467" t="str">
        <f>メイン!C5</f>
        <v>CASBEE京都-新築2018（v.1.0）</v>
      </c>
      <c r="O5" s="3469"/>
      <c r="P5" s="152"/>
      <c r="Q5" s="3466"/>
      <c r="R5" s="184" t="s">
        <v>1852</v>
      </c>
      <c r="S5" s="161"/>
      <c r="T5" s="161"/>
      <c r="U5" s="184" t="s">
        <v>1853</v>
      </c>
      <c r="V5" s="161"/>
      <c r="W5" s="161"/>
      <c r="X5" s="161"/>
      <c r="Y5" s="161"/>
      <c r="Z5" s="161"/>
      <c r="AA5" s="161"/>
      <c r="AB5" s="161"/>
    </row>
    <row r="6" spans="1:33" s="162" customFormat="1" ht="6" customHeight="1" thickTop="1" thickBot="1">
      <c r="A6" s="152"/>
      <c r="B6" s="169"/>
      <c r="C6" s="170"/>
      <c r="D6" s="171"/>
      <c r="E6" s="172"/>
      <c r="F6" s="173"/>
      <c r="G6" s="173"/>
      <c r="H6" s="173"/>
      <c r="I6" s="174"/>
      <c r="J6" s="175"/>
      <c r="K6" s="175"/>
      <c r="L6" s="176"/>
      <c r="M6" s="172"/>
      <c r="N6" s="172"/>
      <c r="O6" s="172"/>
      <c r="P6" s="152"/>
      <c r="Q6" s="152"/>
      <c r="R6" s="161"/>
      <c r="S6" s="161"/>
      <c r="T6" s="161"/>
      <c r="U6" s="161"/>
      <c r="V6" s="161"/>
      <c r="W6" s="161"/>
      <c r="X6" s="161"/>
      <c r="Y6" s="161"/>
      <c r="Z6" s="161"/>
      <c r="AA6" s="161"/>
      <c r="AB6" s="161"/>
    </row>
    <row r="7" spans="1:33" s="162" customFormat="1" ht="19.5" customHeight="1" thickBot="1">
      <c r="A7" s="152"/>
      <c r="B7" s="177" t="s">
        <v>1850</v>
      </c>
      <c r="C7" s="178"/>
      <c r="D7" s="179"/>
      <c r="E7" s="178"/>
      <c r="F7" s="178"/>
      <c r="G7" s="178"/>
      <c r="H7" s="180"/>
      <c r="I7" s="181"/>
      <c r="J7" s="181"/>
      <c r="K7" s="181"/>
      <c r="L7" s="182" t="s">
        <v>1851</v>
      </c>
      <c r="M7" s="178"/>
      <c r="N7" s="178"/>
      <c r="O7" s="183"/>
      <c r="P7" s="152"/>
      <c r="Q7" s="152"/>
      <c r="R7" s="191" t="s">
        <v>2001</v>
      </c>
      <c r="S7" s="191">
        <f>スコア!AE8</f>
        <v>3.040139763779528</v>
      </c>
      <c r="U7" s="192"/>
      <c r="V7" s="192" t="s">
        <v>1856</v>
      </c>
      <c r="W7" s="193" t="s">
        <v>2002</v>
      </c>
      <c r="X7" s="193">
        <v>4</v>
      </c>
      <c r="Y7" s="193">
        <v>2</v>
      </c>
      <c r="Z7" s="194" t="s">
        <v>2003</v>
      </c>
      <c r="AA7" s="195" t="s">
        <v>2004</v>
      </c>
      <c r="AB7" s="161"/>
    </row>
    <row r="8" spans="1:33" s="162" customFormat="1" ht="19.5" customHeight="1">
      <c r="A8" s="152"/>
      <c r="B8" s="185" t="s">
        <v>1854</v>
      </c>
      <c r="C8" s="186"/>
      <c r="D8" s="3504" t="str">
        <f>メイン!C11</f>
        <v>○○ビル</v>
      </c>
      <c r="E8" s="3505"/>
      <c r="F8" s="3505"/>
      <c r="G8" s="3506"/>
      <c r="H8" s="187" t="s">
        <v>1855</v>
      </c>
      <c r="I8" s="188"/>
      <c r="J8" s="3509" t="str">
        <f>メイン!C22</f>
        <v>地上○○F</v>
      </c>
      <c r="K8" s="3510"/>
      <c r="L8" s="3400"/>
      <c r="M8" s="3401"/>
      <c r="N8" s="3401"/>
      <c r="O8" s="3402"/>
      <c r="P8" s="152"/>
      <c r="Q8" s="152"/>
      <c r="R8" s="191" t="s">
        <v>2005</v>
      </c>
      <c r="S8" s="191" t="e">
        <f>スコア!AE121</f>
        <v>#DIV/0!</v>
      </c>
      <c r="T8" s="161"/>
      <c r="U8" s="204" t="s">
        <v>2006</v>
      </c>
      <c r="V8" s="192" t="s">
        <v>588</v>
      </c>
      <c r="W8" s="193">
        <v>5</v>
      </c>
      <c r="X8" s="193">
        <v>4</v>
      </c>
      <c r="Y8" s="193">
        <v>2</v>
      </c>
      <c r="Z8" s="205">
        <f>V46</f>
        <v>3</v>
      </c>
      <c r="AA8" s="195">
        <v>3</v>
      </c>
    </row>
    <row r="9" spans="1:33" s="162" customFormat="1" ht="19.5" customHeight="1">
      <c r="A9" s="152"/>
      <c r="B9" s="196" t="s">
        <v>1858</v>
      </c>
      <c r="C9" s="197"/>
      <c r="D9" s="3501" t="str">
        <f>メイン!C12</f>
        <v>京都市○○区○○</v>
      </c>
      <c r="E9" s="3502"/>
      <c r="F9" s="3502"/>
      <c r="G9" s="3503"/>
      <c r="H9" s="199" t="s">
        <v>1859</v>
      </c>
      <c r="I9" s="200"/>
      <c r="J9" s="3507" t="str">
        <f>メイン!C23</f>
        <v>RC造</v>
      </c>
      <c r="K9" s="3508"/>
      <c r="L9" s="3361"/>
      <c r="M9" s="3362"/>
      <c r="N9" s="3362"/>
      <c r="O9" s="3363"/>
      <c r="P9" s="152"/>
      <c r="Q9" s="152"/>
      <c r="R9" s="194" t="s">
        <v>589</v>
      </c>
      <c r="S9" s="194">
        <f>25*(S7-1)</f>
        <v>51.003494094488197</v>
      </c>
      <c r="U9" s="204" t="s">
        <v>590</v>
      </c>
      <c r="V9" s="207" t="s">
        <v>1866</v>
      </c>
      <c r="W9" s="193">
        <v>5</v>
      </c>
      <c r="X9" s="193">
        <v>4</v>
      </c>
      <c r="Y9" s="193">
        <v>2</v>
      </c>
      <c r="Z9" s="205">
        <f>Y46</f>
        <v>3</v>
      </c>
      <c r="AA9" s="195">
        <v>3</v>
      </c>
      <c r="AF9" s="233">
        <v>5</v>
      </c>
      <c r="AG9" s="233"/>
    </row>
    <row r="10" spans="1:33" s="162" customFormat="1" ht="18.75" customHeight="1">
      <c r="A10" s="152"/>
      <c r="B10" s="196" t="s">
        <v>265</v>
      </c>
      <c r="C10" s="206"/>
      <c r="D10" s="3498" t="str">
        <f>メイン!C14</f>
        <v>商業地域，防火地域</v>
      </c>
      <c r="E10" s="3499"/>
      <c r="F10" s="3499"/>
      <c r="G10" s="3500"/>
      <c r="H10" s="187" t="s">
        <v>1864</v>
      </c>
      <c r="I10" s="188"/>
      <c r="J10" s="2875" t="str">
        <f>メイン!C32</f>
        <v>XX</v>
      </c>
      <c r="K10" s="198" t="s">
        <v>1865</v>
      </c>
      <c r="L10" s="3361"/>
      <c r="M10" s="3362"/>
      <c r="N10" s="3362"/>
      <c r="O10" s="3363"/>
      <c r="P10" s="152"/>
      <c r="Q10" s="152"/>
      <c r="R10" s="194" t="s">
        <v>1867</v>
      </c>
      <c r="S10" s="194" t="e">
        <f>25*(5-S8)</f>
        <v>#DIV/0!</v>
      </c>
      <c r="U10" s="204" t="s">
        <v>1503</v>
      </c>
      <c r="V10" s="210" t="s">
        <v>1868</v>
      </c>
      <c r="W10" s="193">
        <v>5</v>
      </c>
      <c r="X10" s="193">
        <v>4</v>
      </c>
      <c r="Y10" s="193">
        <v>2</v>
      </c>
      <c r="Z10" s="205" t="e">
        <f>Y57</f>
        <v>#VALUE!</v>
      </c>
      <c r="AA10" s="195">
        <v>3</v>
      </c>
      <c r="AF10" s="233">
        <v>4</v>
      </c>
      <c r="AG10" s="233"/>
    </row>
    <row r="11" spans="1:33" s="162" customFormat="1" ht="18.75" customHeight="1">
      <c r="A11" s="152"/>
      <c r="B11" s="208" t="s">
        <v>3350</v>
      </c>
      <c r="C11" s="209"/>
      <c r="D11" s="3495" t="str">
        <f>IF(メイン!F12="","",メイン!F12)</f>
        <v>６地域</v>
      </c>
      <c r="E11" s="3496"/>
      <c r="F11" s="3496"/>
      <c r="G11" s="3497"/>
      <c r="H11" s="199" t="str">
        <f>IF(メイン!I3=3,メイン!J33,メイン!I33)</f>
        <v>年間使用時間</v>
      </c>
      <c r="I11" s="200"/>
      <c r="J11" s="2876" t="str">
        <f>IF(メイン!I3=3,メイン!C34,メイン!C33)</f>
        <v>XXX</v>
      </c>
      <c r="K11" s="2923" t="str">
        <f>IF(メイン!I3=3,メイン!D34,メイン!D33)</f>
        <v>時間/年（想定値）</v>
      </c>
      <c r="L11" s="3361"/>
      <c r="M11" s="3368" t="s">
        <v>4119</v>
      </c>
      <c r="N11" s="3362"/>
      <c r="O11" s="3363"/>
      <c r="P11" s="152"/>
      <c r="Q11" s="152"/>
      <c r="R11" s="194" t="s">
        <v>1871</v>
      </c>
      <c r="S11" s="194" t="e">
        <f>S9/S10</f>
        <v>#DIV/0!</v>
      </c>
      <c r="U11" s="204" t="s">
        <v>1970</v>
      </c>
      <c r="V11" s="210" t="s">
        <v>1872</v>
      </c>
      <c r="W11" s="193">
        <v>5</v>
      </c>
      <c r="X11" s="193">
        <v>4</v>
      </c>
      <c r="Y11" s="193">
        <v>2</v>
      </c>
      <c r="Z11" s="205">
        <f>V57</f>
        <v>3</v>
      </c>
      <c r="AA11" s="195">
        <v>3</v>
      </c>
      <c r="AF11" s="233">
        <v>3</v>
      </c>
      <c r="AG11" s="233"/>
    </row>
    <row r="12" spans="1:33" s="162" customFormat="1" ht="18.75" customHeight="1">
      <c r="A12" s="152"/>
      <c r="B12" s="211" t="s">
        <v>1869</v>
      </c>
      <c r="C12" s="212"/>
      <c r="D12" s="3492" t="str">
        <f>メイン!C21</f>
        <v>事務所,集合住宅,</v>
      </c>
      <c r="E12" s="3493"/>
      <c r="F12" s="3493"/>
      <c r="G12" s="3494"/>
      <c r="H12" s="199" t="s">
        <v>1870</v>
      </c>
      <c r="I12" s="214"/>
      <c r="J12" s="201" t="str">
        <f>IF(メイン!E39=0,"",メイン!E39&amp;"評価")</f>
        <v>実施設計段階評価</v>
      </c>
      <c r="K12" s="215"/>
      <c r="L12" s="3361"/>
      <c r="M12" s="3368" t="s">
        <v>4120</v>
      </c>
      <c r="N12" s="3362"/>
      <c r="O12" s="3363"/>
      <c r="P12" s="152"/>
      <c r="Q12" s="152"/>
      <c r="R12" s="204" t="s">
        <v>591</v>
      </c>
      <c r="S12" s="220" t="e">
        <f>ROUNDDOWN(S11,1)</f>
        <v>#DIV/0!</v>
      </c>
      <c r="U12" s="204" t="s">
        <v>592</v>
      </c>
      <c r="V12" s="210" t="s">
        <v>593</v>
      </c>
      <c r="W12" s="193">
        <v>5</v>
      </c>
      <c r="X12" s="193">
        <v>4</v>
      </c>
      <c r="Y12" s="193">
        <v>2</v>
      </c>
      <c r="Z12" s="205" t="e">
        <f>S57</f>
        <v>#DIV/0!</v>
      </c>
      <c r="AA12" s="195">
        <v>3</v>
      </c>
      <c r="AF12" s="233">
        <v>2</v>
      </c>
      <c r="AG12" s="233"/>
    </row>
    <row r="13" spans="1:33" s="162" customFormat="1" ht="18.75" customHeight="1">
      <c r="A13" s="152"/>
      <c r="B13" s="216" t="s">
        <v>482</v>
      </c>
      <c r="C13" s="217"/>
      <c r="D13" s="3475">
        <f>メイン!C15</f>
        <v>43191</v>
      </c>
      <c r="E13" s="3476"/>
      <c r="F13" s="218">
        <f>メイン!F15</f>
        <v>0</v>
      </c>
      <c r="G13" s="213"/>
      <c r="H13" s="187" t="s">
        <v>483</v>
      </c>
      <c r="I13" s="219"/>
      <c r="J13" s="3519">
        <f>IF(メイン!C39=0,"",メイン!C39)</f>
        <v>43191</v>
      </c>
      <c r="K13" s="3520"/>
      <c r="L13" s="3361"/>
      <c r="M13" s="3364" t="s">
        <v>2423</v>
      </c>
      <c r="N13" s="3362"/>
      <c r="O13" s="3363"/>
      <c r="P13" s="152"/>
      <c r="Q13" s="152"/>
      <c r="R13" s="194" t="s">
        <v>489</v>
      </c>
      <c r="S13" s="224" t="e">
        <f>IF(AND($S$9&gt;=50,$S$11&gt;=3),1,IF(S12&lt;0.5,1,IF(S12&lt;1,2,IF(S12&lt;1.5,3,IF(S12&lt;3,4,4))))/5)</f>
        <v>#DIV/0!</v>
      </c>
      <c r="U13" s="204" t="s">
        <v>595</v>
      </c>
      <c r="V13" s="207" t="s">
        <v>486</v>
      </c>
      <c r="W13" s="193">
        <v>5</v>
      </c>
      <c r="X13" s="193">
        <v>4</v>
      </c>
      <c r="Y13" s="193">
        <v>2</v>
      </c>
      <c r="Z13" s="205">
        <f>IF(S46=0,1,S46)</f>
        <v>3.1</v>
      </c>
      <c r="AA13" s="195">
        <v>3</v>
      </c>
      <c r="AF13" s="233">
        <v>1</v>
      </c>
      <c r="AG13" s="233"/>
    </row>
    <row r="14" spans="1:33" s="162" customFormat="1" ht="18.75" hidden="1" customHeight="1">
      <c r="A14" s="152"/>
      <c r="B14" s="196" t="s">
        <v>3351</v>
      </c>
      <c r="C14" s="2916"/>
      <c r="D14" s="3521" t="str">
        <f>メイン!C16</f>
        <v>2018年6月～8月</v>
      </c>
      <c r="E14" s="3522"/>
      <c r="F14" s="222"/>
      <c r="H14" s="187"/>
      <c r="I14" s="219"/>
      <c r="J14" s="2910"/>
      <c r="K14" s="2911"/>
      <c r="L14" s="3361"/>
      <c r="M14" s="3364"/>
      <c r="N14" s="3362"/>
      <c r="O14" s="3363"/>
      <c r="P14" s="152"/>
      <c r="Q14" s="152"/>
      <c r="R14" s="194" t="s">
        <v>492</v>
      </c>
      <c r="S14" s="227" t="e">
        <f>1-S13</f>
        <v>#DIV/0!</v>
      </c>
      <c r="AF14" s="233"/>
      <c r="AG14" s="233"/>
    </row>
    <row r="15" spans="1:33" s="162" customFormat="1" ht="18.75" customHeight="1">
      <c r="A15" s="152"/>
      <c r="B15" s="187" t="s">
        <v>484</v>
      </c>
      <c r="C15" s="221"/>
      <c r="D15" s="3513" t="str">
        <f>メイン!C17</f>
        <v>XXX</v>
      </c>
      <c r="E15" s="3514"/>
      <c r="F15" s="222" t="s">
        <v>594</v>
      </c>
      <c r="H15" s="187" t="s">
        <v>485</v>
      </c>
      <c r="I15" s="219"/>
      <c r="J15" s="3515" t="str">
        <f>IF(メイン!C40=0,"",メイン!C40)</f>
        <v>○○○</v>
      </c>
      <c r="K15" s="3516"/>
      <c r="L15" s="3361"/>
      <c r="M15" s="3364" t="s">
        <v>2424</v>
      </c>
      <c r="N15" s="3362"/>
      <c r="O15" s="3363"/>
      <c r="P15" s="152"/>
      <c r="Q15" s="152"/>
      <c r="S15" s="223"/>
    </row>
    <row r="16" spans="1:33" s="162" customFormat="1" ht="18.75" customHeight="1">
      <c r="A16" s="152"/>
      <c r="B16" s="187" t="s">
        <v>487</v>
      </c>
      <c r="C16" s="221"/>
      <c r="D16" s="3511" t="str">
        <f>メイン!C18</f>
        <v>XXX</v>
      </c>
      <c r="E16" s="3512"/>
      <c r="F16" s="222" t="s">
        <v>596</v>
      </c>
      <c r="H16" s="187" t="s">
        <v>488</v>
      </c>
      <c r="I16" s="219"/>
      <c r="J16" s="3517">
        <f>IF(メイン!C41=0,"",メイン!C41)</f>
        <v>43191</v>
      </c>
      <c r="K16" s="3518"/>
      <c r="L16" s="3361"/>
      <c r="M16" s="3362"/>
      <c r="N16" s="3362"/>
      <c r="O16" s="3363"/>
      <c r="P16" s="152"/>
      <c r="Q16" s="152"/>
      <c r="V16" s="225"/>
      <c r="Z16" s="225"/>
    </row>
    <row r="17" spans="1:28" s="162" customFormat="1" ht="18" customHeight="1" thickBot="1">
      <c r="A17" s="152"/>
      <c r="B17" s="187" t="s">
        <v>490</v>
      </c>
      <c r="C17" s="221"/>
      <c r="D17" s="3511">
        <f>メイン!J66</f>
        <v>20320</v>
      </c>
      <c r="E17" s="3512"/>
      <c r="F17" s="226" t="s">
        <v>594</v>
      </c>
      <c r="H17" s="187" t="s">
        <v>491</v>
      </c>
      <c r="I17" s="219"/>
      <c r="J17" s="3515" t="str">
        <f>IF(メイン!C42=0,"",メイン!C42)</f>
        <v>○○○</v>
      </c>
      <c r="K17" s="3516"/>
      <c r="L17" s="3365"/>
      <c r="M17" s="3366"/>
      <c r="N17" s="3366"/>
      <c r="O17" s="3367"/>
      <c r="P17" s="152"/>
      <c r="Q17" s="152"/>
      <c r="T17" s="225"/>
      <c r="U17" s="228"/>
      <c r="V17" s="225"/>
      <c r="W17" s="225"/>
      <c r="X17" s="225"/>
      <c r="Y17" s="225"/>
      <c r="Z17" s="225"/>
      <c r="AA17" s="225"/>
      <c r="AB17" s="225"/>
    </row>
    <row r="18" spans="1:28" s="162" customFormat="1" ht="14.25" hidden="1">
      <c r="A18" s="152"/>
      <c r="B18" s="229" t="s">
        <v>493</v>
      </c>
      <c r="D18" s="162" t="s">
        <v>3352</v>
      </c>
      <c r="L18" s="230" t="s">
        <v>494</v>
      </c>
      <c r="M18" s="231" t="s">
        <v>495</v>
      </c>
      <c r="N18" s="162" t="s">
        <v>3352</v>
      </c>
      <c r="O18" s="203"/>
      <c r="P18" s="152"/>
      <c r="Q18" s="152"/>
      <c r="R18" s="225"/>
      <c r="S18" s="225"/>
      <c r="T18" s="225"/>
      <c r="U18" s="225"/>
      <c r="V18" s="225"/>
      <c r="W18" s="225"/>
      <c r="X18" s="225"/>
      <c r="Y18" s="225"/>
      <c r="Z18" s="225"/>
      <c r="AA18" s="225"/>
      <c r="AB18" s="225"/>
    </row>
    <row r="19" spans="1:28" s="162" customFormat="1" ht="14.25" hidden="1">
      <c r="A19" s="152"/>
      <c r="B19" s="229" t="s">
        <v>496</v>
      </c>
      <c r="C19" s="232"/>
      <c r="D19" s="162" t="s">
        <v>3352</v>
      </c>
      <c r="F19" s="233"/>
      <c r="G19" s="233"/>
      <c r="L19" s="234"/>
      <c r="M19" s="231" t="s">
        <v>497</v>
      </c>
      <c r="N19" s="233" t="s">
        <v>3352</v>
      </c>
      <c r="O19" s="235"/>
      <c r="P19" s="152"/>
      <c r="Q19" s="152"/>
      <c r="R19" s="236"/>
      <c r="S19" s="237"/>
      <c r="T19" s="225"/>
      <c r="U19" s="225"/>
      <c r="V19" s="237"/>
      <c r="W19" s="238"/>
      <c r="X19" s="225"/>
      <c r="Y19" s="225"/>
      <c r="Z19" s="225"/>
      <c r="AA19" s="225"/>
      <c r="AB19" s="225"/>
    </row>
    <row r="20" spans="1:28" s="162" customFormat="1" ht="14.25" hidden="1">
      <c r="A20" s="152"/>
      <c r="B20" s="239" t="s">
        <v>498</v>
      </c>
      <c r="C20" s="188"/>
      <c r="D20" s="162" t="s">
        <v>3352</v>
      </c>
      <c r="F20" s="233"/>
      <c r="G20" s="233"/>
      <c r="L20" s="234"/>
      <c r="M20" s="231" t="s">
        <v>499</v>
      </c>
      <c r="N20" s="233" t="s">
        <v>3352</v>
      </c>
      <c r="O20" s="235"/>
      <c r="P20" s="152"/>
      <c r="Q20" s="152"/>
      <c r="R20" s="236"/>
      <c r="S20" s="237"/>
      <c r="T20" s="225"/>
      <c r="U20" s="225"/>
      <c r="V20" s="237"/>
      <c r="W20" s="238"/>
      <c r="X20" s="225"/>
      <c r="Y20" s="225"/>
      <c r="Z20" s="225"/>
      <c r="AA20" s="225"/>
      <c r="AB20" s="225"/>
    </row>
    <row r="21" spans="1:28" s="162" customFormat="1" ht="15" hidden="1" thickBot="1">
      <c r="A21" s="152"/>
      <c r="B21" s="239" t="s">
        <v>500</v>
      </c>
      <c r="C21" s="206"/>
      <c r="D21" s="240" t="s">
        <v>3352</v>
      </c>
      <c r="E21" s="240"/>
      <c r="F21" s="241"/>
      <c r="G21" s="241"/>
      <c r="L21" s="242"/>
      <c r="M21" s="243" t="s">
        <v>501</v>
      </c>
      <c r="N21" s="241" t="s">
        <v>3352</v>
      </c>
      <c r="O21" s="244"/>
      <c r="P21" s="152"/>
      <c r="Q21" s="152"/>
      <c r="R21" s="236"/>
      <c r="S21" s="237"/>
      <c r="T21" s="225"/>
      <c r="U21" s="225"/>
      <c r="V21" s="237"/>
      <c r="W21" s="238"/>
      <c r="X21" s="225"/>
      <c r="Y21" s="225"/>
      <c r="Z21" s="225"/>
      <c r="AA21" s="225"/>
      <c r="AB21" s="225"/>
    </row>
    <row r="22" spans="1:28" s="162" customFormat="1" ht="6.75" customHeight="1" thickBot="1">
      <c r="A22" s="152"/>
      <c r="B22" s="245"/>
      <c r="C22" s="246"/>
      <c r="D22" s="245"/>
      <c r="E22" s="247"/>
      <c r="F22" s="247"/>
      <c r="G22" s="247"/>
      <c r="H22" s="247"/>
      <c r="I22" s="248"/>
      <c r="J22" s="249"/>
      <c r="K22" s="250"/>
      <c r="L22" s="247"/>
      <c r="M22" s="247"/>
      <c r="N22" s="247"/>
      <c r="O22" s="247"/>
      <c r="P22" s="152"/>
      <c r="Q22" s="152"/>
      <c r="R22" s="236"/>
      <c r="S22" s="237"/>
      <c r="T22" s="225"/>
      <c r="U22" s="225"/>
      <c r="V22" s="237"/>
      <c r="W22" s="238"/>
      <c r="X22" s="225"/>
      <c r="Y22" s="225"/>
      <c r="Z22" s="225"/>
      <c r="AA22" s="225"/>
      <c r="AB22" s="225"/>
    </row>
    <row r="23" spans="1:28" s="162" customFormat="1" ht="19.5" thickBot="1">
      <c r="A23" s="152"/>
      <c r="B23" s="251" t="s">
        <v>502</v>
      </c>
      <c r="C23" s="252"/>
      <c r="D23" s="253"/>
      <c r="E23" s="254"/>
      <c r="F23" s="254"/>
      <c r="G23" s="254"/>
      <c r="H23" s="255" t="s">
        <v>503</v>
      </c>
      <c r="I23" s="256"/>
      <c r="J23" s="257"/>
      <c r="K23" s="257"/>
      <c r="L23" s="258" t="s">
        <v>504</v>
      </c>
      <c r="M23" s="252"/>
      <c r="N23" s="253"/>
      <c r="O23" s="254"/>
      <c r="P23" s="152"/>
      <c r="Q23" s="152"/>
      <c r="R23" s="194" t="s">
        <v>597</v>
      </c>
      <c r="S23" s="192" t="s">
        <v>505</v>
      </c>
      <c r="T23" s="192" t="s">
        <v>506</v>
      </c>
      <c r="U23" s="192" t="s">
        <v>507</v>
      </c>
      <c r="AB23" s="225"/>
    </row>
    <row r="24" spans="1:28" s="162" customFormat="1" ht="15" customHeight="1">
      <c r="A24" s="152"/>
      <c r="B24" s="202"/>
      <c r="H24" s="259"/>
      <c r="I24" s="260"/>
      <c r="J24" s="247"/>
      <c r="K24" s="261"/>
      <c r="L24" s="262"/>
      <c r="M24" s="263"/>
      <c r="N24" s="263"/>
      <c r="O24" s="264"/>
      <c r="R24" s="194" t="s">
        <v>508</v>
      </c>
      <c r="S24" s="205"/>
      <c r="T24" s="265" t="e">
        <f>S10</f>
        <v>#DIV/0!</v>
      </c>
      <c r="U24" s="205">
        <v>0</v>
      </c>
      <c r="V24" s="225"/>
      <c r="W24" s="192" t="s">
        <v>509</v>
      </c>
      <c r="X24" s="192"/>
      <c r="Y24" s="225"/>
      <c r="Z24" s="192" t="s">
        <v>510</v>
      </c>
      <c r="AA24" s="192"/>
      <c r="AB24" s="225"/>
    </row>
    <row r="25" spans="1:28" s="162" customFormat="1" ht="15" customHeight="1">
      <c r="A25" s="152"/>
      <c r="B25" s="266"/>
      <c r="C25" s="267" t="e">
        <f>S12</f>
        <v>#DIV/0!</v>
      </c>
      <c r="H25" s="268"/>
      <c r="I25" s="269"/>
      <c r="J25" s="270"/>
      <c r="K25" s="271"/>
      <c r="L25" s="272"/>
      <c r="M25" s="263"/>
      <c r="N25" s="263"/>
      <c r="O25" s="264"/>
      <c r="R25" s="194" t="s">
        <v>511</v>
      </c>
      <c r="S25" s="205"/>
      <c r="T25" s="265">
        <f>S9</f>
        <v>51.003494094488197</v>
      </c>
      <c r="U25" s="205">
        <v>0</v>
      </c>
      <c r="V25" s="225"/>
      <c r="W25" s="205">
        <v>50</v>
      </c>
      <c r="X25" s="205">
        <v>50</v>
      </c>
      <c r="Y25" s="225"/>
      <c r="Z25" s="205">
        <v>0</v>
      </c>
      <c r="AA25" s="205">
        <v>100</v>
      </c>
      <c r="AB25" s="225"/>
    </row>
    <row r="26" spans="1:28" s="162" customFormat="1" ht="15" customHeight="1">
      <c r="A26" s="152"/>
      <c r="B26" s="202"/>
      <c r="H26" s="268"/>
      <c r="J26" s="270"/>
      <c r="K26" s="271"/>
      <c r="L26" s="272"/>
      <c r="M26" s="263"/>
      <c r="N26" s="263"/>
      <c r="O26" s="264"/>
      <c r="R26" s="205">
        <v>0</v>
      </c>
      <c r="S26" s="192" t="e">
        <f>T24</f>
        <v>#DIV/0!</v>
      </c>
      <c r="T26" s="273" t="e">
        <f>T24</f>
        <v>#DIV/0!</v>
      </c>
      <c r="U26" s="192">
        <v>0.1</v>
      </c>
      <c r="V26" s="225"/>
      <c r="W26" s="205">
        <v>0</v>
      </c>
      <c r="X26" s="205">
        <v>100</v>
      </c>
      <c r="Y26" s="225"/>
      <c r="Z26" s="205">
        <v>50</v>
      </c>
      <c r="AA26" s="205">
        <v>50</v>
      </c>
      <c r="AB26" s="225"/>
    </row>
    <row r="27" spans="1:28" s="162" customFormat="1" ht="15" customHeight="1">
      <c r="A27" s="152"/>
      <c r="B27" s="274"/>
      <c r="C27" s="275"/>
      <c r="D27" s="275"/>
      <c r="E27" s="275"/>
      <c r="F27" s="275"/>
      <c r="G27" s="275"/>
      <c r="H27" s="276"/>
      <c r="I27" s="277"/>
      <c r="J27" s="278"/>
      <c r="K27" s="279"/>
      <c r="L27" s="280"/>
      <c r="M27" s="263"/>
      <c r="N27" s="189"/>
      <c r="O27" s="264"/>
      <c r="R27" s="205">
        <v>0</v>
      </c>
      <c r="S27" s="192">
        <v>0</v>
      </c>
      <c r="T27" s="192">
        <f>T25</f>
        <v>51.003494094488197</v>
      </c>
      <c r="U27" s="281">
        <f>T25</f>
        <v>51.003494094488197</v>
      </c>
      <c r="V27" s="225"/>
      <c r="W27" s="225"/>
      <c r="X27" s="225"/>
      <c r="Y27" s="225"/>
      <c r="Z27" s="225"/>
      <c r="AA27" s="225"/>
      <c r="AB27" s="225"/>
    </row>
    <row r="28" spans="1:28" s="162" customFormat="1" ht="15" customHeight="1">
      <c r="A28" s="152"/>
      <c r="B28" s="202"/>
      <c r="H28" s="282" t="str">
        <f>U36</f>
        <v>標準計算</v>
      </c>
      <c r="J28" s="270"/>
      <c r="K28" s="270"/>
      <c r="L28" s="202"/>
      <c r="O28" s="203"/>
      <c r="V28" s="225"/>
      <c r="W28" s="225"/>
      <c r="X28" s="225"/>
      <c r="Y28" s="225"/>
      <c r="Z28" s="225"/>
      <c r="AA28" s="225"/>
      <c r="AB28" s="225"/>
    </row>
    <row r="29" spans="1:28" s="162" customFormat="1" ht="15" customHeight="1">
      <c r="A29" s="152"/>
      <c r="B29" s="202"/>
      <c r="H29" s="202"/>
      <c r="J29" s="270"/>
      <c r="K29" s="271"/>
      <c r="L29" s="283"/>
      <c r="M29" s="284"/>
      <c r="N29" s="285"/>
      <c r="O29" s="286"/>
      <c r="R29" s="287" t="s">
        <v>598</v>
      </c>
      <c r="S29" s="192" t="s">
        <v>599</v>
      </c>
      <c r="T29" s="288">
        <v>0</v>
      </c>
      <c r="U29" s="288">
        <f>100/6</f>
        <v>16.666666666666668</v>
      </c>
      <c r="V29" s="289">
        <f>U29*2</f>
        <v>33.333333333333336</v>
      </c>
      <c r="W29" s="288">
        <f>U29*3</f>
        <v>50</v>
      </c>
      <c r="X29" s="288">
        <f>U29*4</f>
        <v>66.666666666666671</v>
      </c>
      <c r="Y29" s="288">
        <f>U29*5</f>
        <v>83.333333333333343</v>
      </c>
      <c r="Z29" s="288">
        <v>100</v>
      </c>
      <c r="AA29" s="225"/>
      <c r="AB29" s="225"/>
    </row>
    <row r="30" spans="1:28" s="162" customFormat="1" ht="15" customHeight="1">
      <c r="A30" s="152"/>
      <c r="B30" s="202"/>
      <c r="H30" s="202"/>
      <c r="J30" s="270"/>
      <c r="K30" s="271"/>
      <c r="L30" s="283"/>
      <c r="M30" s="284"/>
      <c r="N30" s="285"/>
      <c r="O30" s="286"/>
      <c r="R30" s="287"/>
      <c r="S30" s="192" t="s">
        <v>600</v>
      </c>
      <c r="T30" s="288">
        <v>100</v>
      </c>
      <c r="U30" s="288">
        <v>100</v>
      </c>
      <c r="V30" s="288">
        <v>100</v>
      </c>
      <c r="W30" s="288">
        <v>100</v>
      </c>
      <c r="X30" s="288">
        <v>100</v>
      </c>
      <c r="Y30" s="288">
        <v>100</v>
      </c>
      <c r="Z30" s="288">
        <v>100</v>
      </c>
      <c r="AA30" s="225"/>
      <c r="AB30" s="225"/>
    </row>
    <row r="31" spans="1:28" s="162" customFormat="1" ht="15" customHeight="1">
      <c r="A31" s="152"/>
      <c r="B31" s="202"/>
      <c r="H31" s="202"/>
      <c r="J31" s="270"/>
      <c r="K31" s="271"/>
      <c r="L31" s="290"/>
      <c r="M31" s="291"/>
      <c r="N31" s="292"/>
      <c r="O31" s="293"/>
      <c r="R31" s="287">
        <v>3</v>
      </c>
      <c r="S31" s="192" t="s">
        <v>601</v>
      </c>
      <c r="T31" s="288">
        <v>50</v>
      </c>
      <c r="U31" s="288">
        <f t="shared" ref="U31:V34" si="0">U$29*$R31</f>
        <v>50</v>
      </c>
      <c r="V31" s="288">
        <f t="shared" si="0"/>
        <v>100</v>
      </c>
      <c r="W31" s="288">
        <v>100</v>
      </c>
      <c r="X31" s="288">
        <v>100</v>
      </c>
      <c r="Y31" s="288">
        <v>100</v>
      </c>
      <c r="Z31" s="288">
        <v>100</v>
      </c>
      <c r="AA31" s="225"/>
      <c r="AB31" s="225"/>
    </row>
    <row r="32" spans="1:28" s="162" customFormat="1" ht="15" customHeight="1">
      <c r="A32" s="152"/>
      <c r="B32" s="202"/>
      <c r="H32" s="202"/>
      <c r="J32" s="270"/>
      <c r="K32" s="271"/>
      <c r="L32" s="283"/>
      <c r="M32" s="284"/>
      <c r="N32" s="285"/>
      <c r="O32" s="286"/>
      <c r="R32" s="287">
        <v>1.5</v>
      </c>
      <c r="S32" s="192" t="s">
        <v>602</v>
      </c>
      <c r="T32" s="288">
        <v>0</v>
      </c>
      <c r="U32" s="288">
        <f t="shared" si="0"/>
        <v>25</v>
      </c>
      <c r="V32" s="288">
        <f t="shared" si="0"/>
        <v>50</v>
      </c>
      <c r="W32" s="288">
        <f t="shared" ref="W32:X34" si="1">W$29*$R32</f>
        <v>75</v>
      </c>
      <c r="X32" s="288">
        <f t="shared" si="1"/>
        <v>100</v>
      </c>
      <c r="Y32" s="288">
        <v>100</v>
      </c>
      <c r="Z32" s="288">
        <v>100</v>
      </c>
      <c r="AA32" s="225"/>
      <c r="AB32" s="225"/>
    </row>
    <row r="33" spans="1:35" s="162" customFormat="1" ht="15" customHeight="1">
      <c r="A33" s="152"/>
      <c r="B33" s="202"/>
      <c r="H33" s="202"/>
      <c r="J33" s="270"/>
      <c r="K33" s="271"/>
      <c r="L33" s="283"/>
      <c r="M33" s="284"/>
      <c r="N33" s="285"/>
      <c r="O33" s="286"/>
      <c r="R33" s="287">
        <v>1</v>
      </c>
      <c r="S33" s="192" t="s">
        <v>603</v>
      </c>
      <c r="T33" s="288">
        <v>0</v>
      </c>
      <c r="U33" s="288">
        <f t="shared" si="0"/>
        <v>16.666666666666668</v>
      </c>
      <c r="V33" s="288">
        <f t="shared" si="0"/>
        <v>33.333333333333336</v>
      </c>
      <c r="W33" s="288">
        <f t="shared" si="1"/>
        <v>50</v>
      </c>
      <c r="X33" s="288">
        <f t="shared" si="1"/>
        <v>66.666666666666671</v>
      </c>
      <c r="Y33" s="288">
        <f>Y$29*$R33</f>
        <v>83.333333333333343</v>
      </c>
      <c r="Z33" s="288">
        <f>Z$29*$R33</f>
        <v>100</v>
      </c>
      <c r="AA33" s="225"/>
      <c r="AB33" s="225"/>
    </row>
    <row r="34" spans="1:35" s="162" customFormat="1" ht="15" customHeight="1">
      <c r="A34" s="152"/>
      <c r="B34" s="202"/>
      <c r="H34" s="202"/>
      <c r="J34" s="270"/>
      <c r="K34" s="271"/>
      <c r="L34" s="283"/>
      <c r="M34" s="284"/>
      <c r="N34" s="285"/>
      <c r="O34" s="286"/>
      <c r="R34" s="287">
        <v>0.5</v>
      </c>
      <c r="S34" s="192" t="s">
        <v>604</v>
      </c>
      <c r="T34" s="288">
        <v>0</v>
      </c>
      <c r="U34" s="288">
        <f t="shared" si="0"/>
        <v>8.3333333333333339</v>
      </c>
      <c r="V34" s="288">
        <f t="shared" si="0"/>
        <v>16.666666666666668</v>
      </c>
      <c r="W34" s="288">
        <f t="shared" si="1"/>
        <v>25</v>
      </c>
      <c r="X34" s="288">
        <f t="shared" si="1"/>
        <v>33.333333333333336</v>
      </c>
      <c r="Y34" s="288">
        <f>Y$29*$R34</f>
        <v>41.666666666666671</v>
      </c>
      <c r="Z34" s="288">
        <f>Z$29*$R34</f>
        <v>50</v>
      </c>
      <c r="AA34" s="225"/>
      <c r="AB34" s="225"/>
    </row>
    <row r="35" spans="1:35" s="162" customFormat="1" ht="15" customHeight="1">
      <c r="A35" s="152"/>
      <c r="B35" s="202"/>
      <c r="H35" s="268"/>
      <c r="I35" s="269"/>
      <c r="J35" s="270"/>
      <c r="K35" s="271"/>
      <c r="L35" s="283"/>
      <c r="M35" s="263"/>
      <c r="N35" s="263"/>
      <c r="O35" s="264"/>
      <c r="R35" s="294"/>
      <c r="S35" s="228"/>
      <c r="T35" s="295"/>
      <c r="U35" s="295"/>
      <c r="V35" s="295"/>
      <c r="W35" s="295"/>
      <c r="X35" s="295"/>
      <c r="Y35" s="295"/>
      <c r="Z35" s="295"/>
      <c r="AA35" s="225"/>
      <c r="AB35" s="225"/>
    </row>
    <row r="36" spans="1:35" s="162" customFormat="1" ht="15" customHeight="1">
      <c r="A36" s="233"/>
      <c r="B36" s="202"/>
      <c r="H36" s="296"/>
      <c r="I36" s="297"/>
      <c r="J36" s="297"/>
      <c r="K36" s="298"/>
      <c r="L36" s="283"/>
      <c r="M36" s="263"/>
      <c r="N36" s="299"/>
      <c r="O36" s="264"/>
      <c r="R36" s="194" t="s">
        <v>605</v>
      </c>
      <c r="S36" s="224" t="e">
        <f>IF(T36&lt;=0.3,1,IF(T36&lt;=0.6,0.8,IF(T36&lt;=0.8,0.6,IF(T36&lt;=1,0.4,0.2))))</f>
        <v>#VALUE!</v>
      </c>
      <c r="T36" s="295" t="e">
        <f>IF(U36=W36,X42,X43)</f>
        <v>#VALUE!</v>
      </c>
      <c r="U36" s="300" t="str">
        <f>メイン!C43</f>
        <v>標準計算</v>
      </c>
      <c r="V36" s="301" t="s">
        <v>606</v>
      </c>
      <c r="W36" s="300" t="s">
        <v>350</v>
      </c>
      <c r="X36" s="300" t="s">
        <v>3073</v>
      </c>
      <c r="Y36" s="295"/>
      <c r="Z36" s="295"/>
      <c r="AA36" s="225"/>
      <c r="AB36" s="225"/>
    </row>
    <row r="37" spans="1:35" s="162" customFormat="1" ht="15" customHeight="1">
      <c r="A37" s="233"/>
      <c r="B37" s="202"/>
      <c r="H37" s="3485" t="str">
        <f>IF(U36=W36,X36,X37)</f>
        <v>このグラフは，LR3中の「地球温暖化への配慮」の内容を，一般的な建物（参照値）と比べたライフサイクルCO2 排出量の目安で示したものです</v>
      </c>
      <c r="I37" s="3486"/>
      <c r="J37" s="3486"/>
      <c r="K37" s="3487"/>
      <c r="L37" s="283"/>
      <c r="M37" s="263"/>
      <c r="N37" s="302"/>
      <c r="O37" s="264"/>
      <c r="R37" s="194" t="s">
        <v>1181</v>
      </c>
      <c r="S37" s="227" t="e">
        <f>1-S36</f>
        <v>#VALUE!</v>
      </c>
      <c r="T37" s="295"/>
      <c r="U37" s="300" t="s">
        <v>1731</v>
      </c>
      <c r="V37" s="295" t="str">
        <f>IF(U36=W37,V36,"")</f>
        <v/>
      </c>
      <c r="W37" s="300" t="s">
        <v>352</v>
      </c>
      <c r="X37" s="300" t="s">
        <v>3074</v>
      </c>
      <c r="Y37" s="295"/>
      <c r="Z37" s="295"/>
      <c r="AA37" s="225"/>
      <c r="AB37" s="225"/>
    </row>
    <row r="38" spans="1:35" s="162" customFormat="1" ht="15" customHeight="1">
      <c r="A38" s="233"/>
      <c r="B38" s="202"/>
      <c r="C38" s="303"/>
      <c r="H38" s="3485"/>
      <c r="I38" s="3486"/>
      <c r="J38" s="3486"/>
      <c r="K38" s="3487"/>
      <c r="L38" s="280"/>
      <c r="M38" s="304"/>
      <c r="N38" s="263"/>
      <c r="O38" s="264"/>
      <c r="AA38" s="225"/>
      <c r="AB38" s="225"/>
    </row>
    <row r="39" spans="1:35" s="162" customFormat="1" ht="15" customHeight="1" thickBot="1">
      <c r="A39" s="233"/>
      <c r="B39" s="305"/>
      <c r="C39" s="240"/>
      <c r="D39" s="240"/>
      <c r="E39" s="240"/>
      <c r="F39" s="240"/>
      <c r="G39" s="240"/>
      <c r="H39" s="3488"/>
      <c r="I39" s="3489"/>
      <c r="J39" s="3489"/>
      <c r="K39" s="3490"/>
      <c r="L39" s="306"/>
      <c r="M39" s="307"/>
      <c r="N39" s="308"/>
      <c r="O39" s="309"/>
      <c r="R39" s="310" t="s">
        <v>1182</v>
      </c>
      <c r="S39" s="311" t="s">
        <v>567</v>
      </c>
      <c r="T39" s="311" t="s">
        <v>568</v>
      </c>
      <c r="U39" s="311" t="s">
        <v>569</v>
      </c>
      <c r="V39" s="311" t="s">
        <v>1183</v>
      </c>
      <c r="W39" s="311" t="s">
        <v>1184</v>
      </c>
      <c r="X39" s="311" t="s">
        <v>1185</v>
      </c>
      <c r="Y39" s="191" t="s">
        <v>1186</v>
      </c>
      <c r="AA39" s="300"/>
    </row>
    <row r="40" spans="1:35" s="162" customFormat="1" ht="18" customHeight="1" thickBot="1">
      <c r="A40" s="152"/>
      <c r="B40" s="312" t="s">
        <v>1187</v>
      </c>
      <c r="C40" s="313"/>
      <c r="D40" s="314"/>
      <c r="E40" s="313"/>
      <c r="F40" s="313"/>
      <c r="G40" s="313"/>
      <c r="H40" s="315"/>
      <c r="I40" s="316"/>
      <c r="J40" s="313"/>
      <c r="K40" s="313"/>
      <c r="L40" s="313"/>
      <c r="M40" s="317"/>
      <c r="N40" s="317"/>
      <c r="O40" s="318"/>
      <c r="P40" s="152"/>
      <c r="Q40" s="152"/>
      <c r="R40" s="191" t="s">
        <v>570</v>
      </c>
      <c r="S40" s="319">
        <f>IF($U$36=$W$36,'条件(標準)'!$D9,'条件(個別)'!$D9)</f>
        <v>13.330629921259844</v>
      </c>
      <c r="T40" s="319">
        <f>IF($U$36=$W$36,'条件(標準)'!$D34,'条件(個別)'!$D34)</f>
        <v>16.328677165354332</v>
      </c>
      <c r="U40" s="319" t="e">
        <f>IF($U$36=$W$36,'条件(標準)'!$D46,'条件(個別)'!$D46)</f>
        <v>#VALUE!</v>
      </c>
      <c r="V40" s="320"/>
      <c r="W40" s="320"/>
      <c r="X40" s="321">
        <v>1</v>
      </c>
      <c r="Y40" s="191" t="e">
        <f>IF(COUNTIF(S40:W40,Z41)&gt;0,Z41,SUM(S40:W40))</f>
        <v>#VALUE!</v>
      </c>
      <c r="AA40" s="322"/>
    </row>
    <row r="41" spans="1:35" s="162" customFormat="1" ht="18.75">
      <c r="A41" s="152"/>
      <c r="B41" s="323" t="s">
        <v>571</v>
      </c>
      <c r="C41" s="324"/>
      <c r="D41" s="324"/>
      <c r="E41" s="325"/>
      <c r="F41" s="324"/>
      <c r="G41" s="324"/>
      <c r="H41" s="324"/>
      <c r="I41" s="324"/>
      <c r="J41" s="324"/>
      <c r="K41" s="326"/>
      <c r="L41" s="327"/>
      <c r="M41" s="328" t="s">
        <v>572</v>
      </c>
      <c r="N41" s="329">
        <f>スコア!V8</f>
        <v>3</v>
      </c>
      <c r="O41" s="330"/>
      <c r="P41" s="152"/>
      <c r="Q41" s="152"/>
      <c r="R41" s="191" t="s">
        <v>573</v>
      </c>
      <c r="S41" s="319">
        <f>IF($U$36=$W$36,'条件(標準)'!$E9,'条件(個別)'!$E9)</f>
        <v>13.330629921259844</v>
      </c>
      <c r="T41" s="319">
        <f>IF($U$36=$W$36,'条件(標準)'!$E34,'条件(個別)'!$E34)</f>
        <v>16.328677165354332</v>
      </c>
      <c r="U41" s="319" t="e">
        <f>IF($U$36=$W$36,'条件(標準)'!$E46,'条件(個別)'!$E46)</f>
        <v>#VALUE!</v>
      </c>
      <c r="V41" s="320"/>
      <c r="W41" s="320"/>
      <c r="X41" s="321" t="e">
        <f>IF(OR(Y40=Z41,Y41=Z41),Z41,Y41/Y40)</f>
        <v>#VALUE!</v>
      </c>
      <c r="Y41" s="191" t="e">
        <f>IF(COUNTIF(S41:W41,Z41)&gt;0,Z41,SUM(S41:W41))</f>
        <v>#VALUE!</v>
      </c>
      <c r="Z41" s="162" t="str">
        <f>CO2計算!R115</f>
        <v>N.A.</v>
      </c>
      <c r="AA41" s="322"/>
    </row>
    <row r="42" spans="1:35" s="162" customFormat="1" ht="15">
      <c r="A42" s="152"/>
      <c r="B42" s="202"/>
      <c r="C42" s="331" t="str">
        <f>スコア!B9&amp;" "&amp;スコア!C9</f>
        <v>Q1 室内環境</v>
      </c>
      <c r="D42" s="332"/>
      <c r="E42" s="332"/>
      <c r="F42" s="332"/>
      <c r="G42" s="332"/>
      <c r="H42" s="332" t="str">
        <f>"     "&amp;スコア!B62&amp;" "&amp;スコア!C62</f>
        <v xml:space="preserve">     Q2 サービス性能</v>
      </c>
      <c r="I42" s="332"/>
      <c r="J42" s="233"/>
      <c r="K42" s="233"/>
      <c r="L42" s="333" t="str">
        <f>スコア!B112&amp;" "&amp;スコア!C112</f>
        <v>Q3 室外環境（敷地内）</v>
      </c>
      <c r="M42" s="333"/>
      <c r="N42" s="233"/>
      <c r="O42" s="235"/>
      <c r="P42" s="152"/>
      <c r="Q42" s="152"/>
      <c r="R42" s="191" t="s">
        <v>574</v>
      </c>
      <c r="S42" s="319"/>
      <c r="T42" s="319"/>
      <c r="U42" s="319"/>
      <c r="V42" s="334" t="e">
        <f>IF($U$36=$W$36,'条件(標準)'!E9+'条件(標準)'!E34+'条件(標準)'!E47,'条件(個別)'!E9+'条件(個別)'!E34+'条件(個別)'!E47)</f>
        <v>#VALUE!</v>
      </c>
      <c r="W42" s="320"/>
      <c r="X42" s="321" t="e">
        <f>IF(OR(Y40=Z42,Y42=Z42),Z42,Y42/Y40)</f>
        <v>#VALUE!</v>
      </c>
      <c r="Y42" s="191" t="e">
        <f>IF(COUNTIF(S42:W42,Z42)&gt;0,Z42,SUM(S42:W42))</f>
        <v>#VALUE!</v>
      </c>
      <c r="Z42" s="162" t="str">
        <f>CO2計算!R115</f>
        <v>N.A.</v>
      </c>
      <c r="AA42" s="322"/>
    </row>
    <row r="43" spans="1:35" s="162" customFormat="1" ht="15" customHeight="1">
      <c r="A43" s="152"/>
      <c r="B43" s="202"/>
      <c r="C43" s="335"/>
      <c r="D43" s="336"/>
      <c r="E43" s="337"/>
      <c r="G43" s="332">
        <f>S46</f>
        <v>3.1</v>
      </c>
      <c r="I43" s="337"/>
      <c r="K43" s="332">
        <f>V46</f>
        <v>3</v>
      </c>
      <c r="M43" s="338"/>
      <c r="N43" s="337"/>
      <c r="O43" s="339">
        <f>Y46</f>
        <v>3</v>
      </c>
      <c r="P43" s="152"/>
      <c r="Q43" s="152"/>
      <c r="R43" s="191" t="s">
        <v>575</v>
      </c>
      <c r="S43" s="319"/>
      <c r="T43" s="319"/>
      <c r="U43" s="319"/>
      <c r="V43" s="334"/>
      <c r="W43" s="340" t="e">
        <f>IF($U$36=$W$36,'条件(標準)'!E9+'条件(標準)'!E34+'条件(標準)'!E52,'条件(個別)'!E9+'条件(個別)'!E34+'条件(個別)'!E52)</f>
        <v>#VALUE!</v>
      </c>
      <c r="X43" s="321" t="e">
        <f>IF(OR(Y40=Z43,Y43=Z43),Z43,Y43/Y40)</f>
        <v>#VALUE!</v>
      </c>
      <c r="Y43" s="191" t="e">
        <f>IF(COUNTIF(S43:W43,Z43)&gt;0,Z43,SUM(S43:W43))</f>
        <v>#VALUE!</v>
      </c>
      <c r="Z43" s="162" t="str">
        <f>CO2計算!R115</f>
        <v>N.A.</v>
      </c>
      <c r="AA43" s="322"/>
    </row>
    <row r="44" spans="1:35" s="162" customFormat="1" ht="15" customHeight="1">
      <c r="A44" s="152"/>
      <c r="B44" s="202"/>
      <c r="G44" s="173"/>
      <c r="H44" s="173"/>
      <c r="I44" s="174"/>
      <c r="J44" s="174"/>
      <c r="K44" s="173"/>
      <c r="L44" s="233"/>
      <c r="M44" s="233"/>
      <c r="N44" s="233"/>
      <c r="O44" s="235"/>
      <c r="P44" s="152"/>
      <c r="Q44" s="152"/>
      <c r="AA44" s="225"/>
      <c r="AB44" s="225"/>
      <c r="AC44" s="341"/>
      <c r="AF44" s="341"/>
      <c r="AG44" s="341"/>
      <c r="AI44" s="341"/>
    </row>
    <row r="45" spans="1:35" s="162" customFormat="1" ht="15" customHeight="1">
      <c r="A45" s="152"/>
      <c r="B45" s="202"/>
      <c r="G45" s="173"/>
      <c r="H45" s="173"/>
      <c r="I45" s="174"/>
      <c r="J45" s="174"/>
      <c r="K45" s="173"/>
      <c r="L45" s="233"/>
      <c r="M45" s="233"/>
      <c r="N45" s="233"/>
      <c r="O45" s="235"/>
      <c r="P45" s="152"/>
      <c r="Q45" s="152"/>
      <c r="R45" s="194"/>
      <c r="S45" s="194" t="s">
        <v>1857</v>
      </c>
      <c r="T45" s="194" t="s">
        <v>576</v>
      </c>
      <c r="U45" s="194"/>
      <c r="V45" s="194" t="s">
        <v>1857</v>
      </c>
      <c r="W45" s="194" t="s">
        <v>576</v>
      </c>
      <c r="X45" s="194"/>
      <c r="Y45" s="194" t="s">
        <v>1857</v>
      </c>
      <c r="Z45" s="194" t="s">
        <v>576</v>
      </c>
      <c r="AA45" s="225"/>
      <c r="AB45" s="225"/>
    </row>
    <row r="46" spans="1:35" s="162" customFormat="1" ht="15" customHeight="1">
      <c r="A46" s="152"/>
      <c r="B46" s="202"/>
      <c r="G46" s="173"/>
      <c r="H46" s="173"/>
      <c r="I46" s="174"/>
      <c r="J46" s="174"/>
      <c r="K46" s="173"/>
      <c r="L46" s="233"/>
      <c r="M46" s="233"/>
      <c r="N46" s="233"/>
      <c r="O46" s="235"/>
      <c r="P46" s="152"/>
      <c r="Q46" s="152"/>
      <c r="R46" s="342" t="s">
        <v>755</v>
      </c>
      <c r="S46" s="343">
        <f>スコア!V9</f>
        <v>3.1</v>
      </c>
      <c r="T46" s="194">
        <f>スコア!AE9</f>
        <v>3.1003494094488189</v>
      </c>
      <c r="U46" s="192" t="s">
        <v>1188</v>
      </c>
      <c r="V46" s="344">
        <f>スコア!V62</f>
        <v>3</v>
      </c>
      <c r="W46" s="194">
        <f>スコア!AE62</f>
        <v>3.0000000000000009</v>
      </c>
      <c r="X46" s="342" t="s">
        <v>756</v>
      </c>
      <c r="Y46" s="344">
        <f>スコア!V112</f>
        <v>3</v>
      </c>
      <c r="Z46" s="194">
        <f>スコア!AE112</f>
        <v>3</v>
      </c>
      <c r="AA46" s="225"/>
      <c r="AB46" s="225"/>
    </row>
    <row r="47" spans="1:35" s="162" customFormat="1" ht="15" customHeight="1">
      <c r="A47" s="152"/>
      <c r="B47" s="202"/>
      <c r="G47" s="173"/>
      <c r="H47" s="173"/>
      <c r="I47" s="174"/>
      <c r="J47" s="174"/>
      <c r="K47" s="173"/>
      <c r="L47" s="233"/>
      <c r="M47" s="233"/>
      <c r="N47" s="233"/>
      <c r="O47" s="235"/>
      <c r="P47" s="152"/>
      <c r="Q47" s="152"/>
      <c r="AA47" s="225"/>
      <c r="AB47" s="225"/>
    </row>
    <row r="48" spans="1:35" s="162" customFormat="1" ht="15" customHeight="1">
      <c r="A48" s="152"/>
      <c r="B48" s="202"/>
      <c r="G48" s="173"/>
      <c r="H48" s="173"/>
      <c r="I48" s="174"/>
      <c r="J48" s="174"/>
      <c r="K48" s="173"/>
      <c r="L48" s="233"/>
      <c r="M48" s="233"/>
      <c r="N48" s="233"/>
      <c r="O48" s="235"/>
      <c r="P48" s="152"/>
      <c r="Q48" s="152"/>
      <c r="R48" s="194"/>
      <c r="S48" s="194" t="s">
        <v>1189</v>
      </c>
      <c r="T48" s="194" t="s">
        <v>1190</v>
      </c>
      <c r="U48" s="194"/>
      <c r="V48" s="194" t="s">
        <v>1189</v>
      </c>
      <c r="W48" s="194" t="s">
        <v>1190</v>
      </c>
      <c r="X48" s="194"/>
      <c r="Y48" s="345" t="s">
        <v>1189</v>
      </c>
      <c r="Z48" s="194" t="s">
        <v>1190</v>
      </c>
      <c r="AA48" s="225"/>
      <c r="AB48" s="225"/>
    </row>
    <row r="49" spans="1:28" s="162" customFormat="1" ht="15" customHeight="1">
      <c r="A49" s="152"/>
      <c r="B49" s="202"/>
      <c r="G49" s="346"/>
      <c r="H49" s="346"/>
      <c r="I49" s="174"/>
      <c r="J49" s="174"/>
      <c r="K49" s="173"/>
      <c r="L49" s="233"/>
      <c r="M49" s="233"/>
      <c r="N49" s="233"/>
      <c r="O49" s="235"/>
      <c r="P49" s="152"/>
      <c r="Q49" s="152"/>
      <c r="R49" s="347" t="s">
        <v>757</v>
      </c>
      <c r="S49" s="343">
        <f>スコア!V10</f>
        <v>3</v>
      </c>
      <c r="T49" s="194" t="str">
        <f>IF(S49=0,"N.A.","")</f>
        <v/>
      </c>
      <c r="U49" s="192" t="s">
        <v>758</v>
      </c>
      <c r="V49" s="344">
        <f>スコア!V63</f>
        <v>3</v>
      </c>
      <c r="W49" s="194" t="str">
        <f t="shared" ref="W49:W51" si="2">IF(V49=0,"N.A.","")</f>
        <v/>
      </c>
      <c r="X49" s="347" t="s">
        <v>759</v>
      </c>
      <c r="Y49" s="344">
        <f>スコア!V113</f>
        <v>3</v>
      </c>
      <c r="Z49" s="194" t="str">
        <f t="shared" ref="Z49:Z51" si="3">IF(Y49=0,"N.A.","")</f>
        <v/>
      </c>
      <c r="AA49" s="225"/>
      <c r="AB49" s="225"/>
    </row>
    <row r="50" spans="1:28" s="162" customFormat="1" ht="15" customHeight="1">
      <c r="A50" s="233"/>
      <c r="B50" s="202"/>
      <c r="G50" s="346"/>
      <c r="H50" s="346"/>
      <c r="I50" s="174"/>
      <c r="J50" s="174"/>
      <c r="K50" s="173"/>
      <c r="L50" s="233"/>
      <c r="M50" s="233"/>
      <c r="N50" s="233"/>
      <c r="O50" s="235"/>
      <c r="P50" s="233"/>
      <c r="Q50" s="152"/>
      <c r="R50" s="347" t="s">
        <v>760</v>
      </c>
      <c r="S50" s="343">
        <f>スコア!V20</f>
        <v>3.2</v>
      </c>
      <c r="T50" s="194" t="str">
        <f t="shared" ref="T50:T52" si="4">IF(S50=0,"N.A.","")</f>
        <v/>
      </c>
      <c r="U50" s="192" t="s">
        <v>761</v>
      </c>
      <c r="V50" s="344">
        <f>スコア!V78</f>
        <v>3</v>
      </c>
      <c r="W50" s="194" t="str">
        <f t="shared" si="2"/>
        <v/>
      </c>
      <c r="X50" s="347" t="s">
        <v>1191</v>
      </c>
      <c r="Y50" s="344">
        <f>スコア!V116</f>
        <v>3</v>
      </c>
      <c r="Z50" s="194" t="str">
        <f t="shared" si="3"/>
        <v/>
      </c>
      <c r="AA50" s="225"/>
      <c r="AB50" s="225"/>
    </row>
    <row r="51" spans="1:28" s="162" customFormat="1" ht="15" customHeight="1">
      <c r="A51" s="233"/>
      <c r="B51" s="202"/>
      <c r="G51" s="348"/>
      <c r="H51" s="349"/>
      <c r="I51" s="350"/>
      <c r="J51" s="350"/>
      <c r="K51" s="351"/>
      <c r="L51" s="352"/>
      <c r="M51" s="352"/>
      <c r="N51" s="352"/>
      <c r="O51" s="353"/>
      <c r="P51" s="233"/>
      <c r="Q51" s="152"/>
      <c r="R51" s="347" t="s">
        <v>762</v>
      </c>
      <c r="S51" s="343">
        <f>スコア!V35</f>
        <v>3</v>
      </c>
      <c r="T51" s="194" t="str">
        <f t="shared" si="4"/>
        <v/>
      </c>
      <c r="U51" s="192" t="s">
        <v>763</v>
      </c>
      <c r="V51" s="344">
        <f>スコア!V100</f>
        <v>3</v>
      </c>
      <c r="W51" s="194" t="str">
        <f t="shared" si="2"/>
        <v/>
      </c>
      <c r="X51" s="347" t="s">
        <v>70</v>
      </c>
      <c r="Y51" s="344">
        <f>スコア!V117</f>
        <v>3</v>
      </c>
      <c r="Z51" s="194" t="str">
        <f t="shared" si="3"/>
        <v/>
      </c>
      <c r="AA51" s="225"/>
      <c r="AB51" s="225"/>
    </row>
    <row r="52" spans="1:28" s="162" customFormat="1" ht="18" customHeight="1">
      <c r="A52" s="354"/>
      <c r="B52" s="355" t="s">
        <v>1192</v>
      </c>
      <c r="C52" s="356"/>
      <c r="D52" s="357"/>
      <c r="E52" s="356"/>
      <c r="F52" s="356"/>
      <c r="G52" s="356"/>
      <c r="H52" s="324"/>
      <c r="I52" s="324"/>
      <c r="J52" s="324"/>
      <c r="K52" s="326"/>
      <c r="L52" s="327"/>
      <c r="M52" s="328" t="s">
        <v>1193</v>
      </c>
      <c r="N52" s="358" t="e">
        <f>スコア!V121</f>
        <v>#DIV/0!</v>
      </c>
      <c r="O52" s="330"/>
      <c r="P52" s="152"/>
      <c r="Q52" s="152"/>
      <c r="R52" s="347" t="s">
        <v>71</v>
      </c>
      <c r="S52" s="343">
        <f>スコア!V48</f>
        <v>3</v>
      </c>
      <c r="T52" s="194" t="str">
        <f t="shared" si="4"/>
        <v/>
      </c>
      <c r="U52" s="225"/>
      <c r="V52" s="225"/>
      <c r="W52" s="225"/>
      <c r="X52" s="225"/>
      <c r="Y52" s="225"/>
      <c r="Z52" s="225"/>
      <c r="AA52" s="225"/>
      <c r="AB52" s="225"/>
    </row>
    <row r="53" spans="1:28" s="162" customFormat="1" ht="15">
      <c r="A53" s="152"/>
      <c r="B53" s="359"/>
      <c r="C53" s="333" t="str">
        <f>スコア!B122&amp;" "&amp;スコア!C122</f>
        <v>LR1 エネルギー</v>
      </c>
      <c r="D53" s="333"/>
      <c r="E53" s="360"/>
      <c r="F53" s="333"/>
      <c r="G53" s="333"/>
      <c r="H53" s="333" t="str">
        <f>"     "&amp;スコア!B145&amp;" "&amp;スコア!C145</f>
        <v xml:space="preserve">     LR2 資源・マテリアル</v>
      </c>
      <c r="I53" s="333"/>
      <c r="J53" s="333"/>
      <c r="K53" s="333"/>
      <c r="L53" s="331" t="str">
        <f>スコア!B172&amp;" "&amp;スコア!C172</f>
        <v>LR3 敷地外環境</v>
      </c>
      <c r="M53" s="333"/>
      <c r="N53" s="333"/>
      <c r="O53" s="361"/>
      <c r="P53" s="152"/>
      <c r="Q53" s="152"/>
      <c r="R53" s="225"/>
      <c r="S53" s="225"/>
      <c r="T53" s="194"/>
      <c r="U53" s="225"/>
      <c r="V53" s="225"/>
      <c r="W53" s="225"/>
      <c r="X53" s="225"/>
      <c r="Y53" s="225"/>
      <c r="Z53" s="225"/>
      <c r="AA53" s="225"/>
      <c r="AB53" s="225"/>
    </row>
    <row r="54" spans="1:28" s="162" customFormat="1" ht="15">
      <c r="A54" s="233"/>
      <c r="B54" s="362"/>
      <c r="C54" s="335"/>
      <c r="D54" s="336"/>
      <c r="E54" s="337"/>
      <c r="G54" s="332" t="e">
        <f>S57</f>
        <v>#DIV/0!</v>
      </c>
      <c r="I54" s="337"/>
      <c r="K54" s="332">
        <f>V57</f>
        <v>3</v>
      </c>
      <c r="L54" s="337"/>
      <c r="N54" s="363"/>
      <c r="O54" s="339" t="e">
        <f>Y57</f>
        <v>#VALUE!</v>
      </c>
      <c r="P54" s="233"/>
      <c r="Q54" s="152"/>
      <c r="R54" s="225" t="str">
        <f>IF(S49=0,"N.A.","")</f>
        <v/>
      </c>
      <c r="S54" s="225"/>
      <c r="T54" s="225"/>
      <c r="U54" s="225"/>
      <c r="V54" s="225"/>
      <c r="W54" s="225"/>
      <c r="X54" s="225"/>
      <c r="Y54" s="225"/>
      <c r="Z54" s="225"/>
      <c r="AA54" s="225"/>
      <c r="AB54" s="225"/>
    </row>
    <row r="55" spans="1:28" s="162" customFormat="1" ht="14.25">
      <c r="A55" s="233"/>
      <c r="B55" s="362"/>
      <c r="C55" s="364"/>
      <c r="D55" s="364"/>
      <c r="E55" s="365"/>
      <c r="F55" s="348"/>
      <c r="G55" s="348"/>
      <c r="H55" s="348"/>
      <c r="I55" s="174"/>
      <c r="J55" s="174"/>
      <c r="K55" s="173"/>
      <c r="L55" s="173"/>
      <c r="M55" s="189"/>
      <c r="N55" s="189"/>
      <c r="O55" s="190"/>
      <c r="P55" s="233"/>
      <c r="Q55" s="152"/>
      <c r="AA55" s="225"/>
      <c r="AB55" s="225"/>
    </row>
    <row r="56" spans="1:28" s="162" customFormat="1" ht="15.75" customHeight="1">
      <c r="A56" s="152"/>
      <c r="B56" s="362"/>
      <c r="C56" s="189"/>
      <c r="D56" s="366"/>
      <c r="E56" s="172"/>
      <c r="F56" s="173"/>
      <c r="G56" s="173"/>
      <c r="H56" s="173"/>
      <c r="I56" s="367"/>
      <c r="J56" s="174"/>
      <c r="K56" s="173"/>
      <c r="L56" s="173"/>
      <c r="M56" s="189"/>
      <c r="N56" s="189"/>
      <c r="O56" s="190"/>
      <c r="P56" s="152"/>
      <c r="Q56" s="152"/>
      <c r="R56" s="194"/>
      <c r="S56" s="194" t="s">
        <v>1194</v>
      </c>
      <c r="T56" s="194" t="s">
        <v>1195</v>
      </c>
      <c r="U56" s="194"/>
      <c r="V56" s="194" t="s">
        <v>1194</v>
      </c>
      <c r="W56" s="194" t="s">
        <v>1195</v>
      </c>
      <c r="X56" s="194"/>
      <c r="Y56" s="194" t="s">
        <v>1194</v>
      </c>
      <c r="Z56" s="194" t="s">
        <v>1195</v>
      </c>
      <c r="AA56" s="225"/>
      <c r="AB56" s="225"/>
    </row>
    <row r="57" spans="1:28" s="162" customFormat="1" ht="15.75" customHeight="1">
      <c r="A57" s="152"/>
      <c r="B57" s="362"/>
      <c r="C57" s="170"/>
      <c r="D57" s="171"/>
      <c r="E57" s="172"/>
      <c r="F57" s="173"/>
      <c r="G57" s="173"/>
      <c r="H57" s="173"/>
      <c r="I57" s="367"/>
      <c r="J57" s="174"/>
      <c r="K57" s="173"/>
      <c r="L57" s="173"/>
      <c r="M57" s="189"/>
      <c r="N57" s="189"/>
      <c r="O57" s="190"/>
      <c r="P57" s="152"/>
      <c r="Q57" s="152"/>
      <c r="R57" s="192" t="s">
        <v>1196</v>
      </c>
      <c r="S57" s="344" t="e">
        <f>スコア!V122</f>
        <v>#DIV/0!</v>
      </c>
      <c r="T57" s="194" t="e">
        <f>スコア!AE122</f>
        <v>#DIV/0!</v>
      </c>
      <c r="U57" s="192" t="s">
        <v>72</v>
      </c>
      <c r="V57" s="368">
        <f>スコア!V145</f>
        <v>3</v>
      </c>
      <c r="W57" s="194">
        <f>スコア!AE145</f>
        <v>3.0466666666666669</v>
      </c>
      <c r="X57" s="192" t="s">
        <v>1967</v>
      </c>
      <c r="Y57" s="344" t="e">
        <f>スコア!V172</f>
        <v>#VALUE!</v>
      </c>
      <c r="Z57" s="194" t="e">
        <f>スコア!AE172</f>
        <v>#VALUE!</v>
      </c>
      <c r="AA57" s="225"/>
      <c r="AB57" s="225"/>
    </row>
    <row r="58" spans="1:28" s="162" customFormat="1" ht="15.75" customHeight="1">
      <c r="A58" s="152"/>
      <c r="B58" s="369"/>
      <c r="C58" s="170"/>
      <c r="D58" s="171"/>
      <c r="E58" s="172"/>
      <c r="F58" s="173"/>
      <c r="G58" s="173"/>
      <c r="H58" s="173"/>
      <c r="I58" s="367"/>
      <c r="J58" s="174"/>
      <c r="K58" s="173"/>
      <c r="L58" s="173"/>
      <c r="M58" s="189"/>
      <c r="N58" s="189"/>
      <c r="O58" s="190"/>
      <c r="P58" s="152"/>
      <c r="Q58" s="152"/>
      <c r="Y58" s="370"/>
      <c r="AA58" s="225"/>
      <c r="AB58" s="225"/>
    </row>
    <row r="59" spans="1:28" s="162" customFormat="1" ht="15.75" customHeight="1">
      <c r="A59" s="152"/>
      <c r="B59" s="369"/>
      <c r="C59" s="170"/>
      <c r="D59" s="171"/>
      <c r="E59" s="172"/>
      <c r="F59" s="173"/>
      <c r="G59" s="173"/>
      <c r="H59" s="173"/>
      <c r="I59" s="367"/>
      <c r="J59" s="174"/>
      <c r="K59" s="173"/>
      <c r="L59" s="173"/>
      <c r="M59" s="189"/>
      <c r="N59" s="189"/>
      <c r="O59" s="190"/>
      <c r="P59" s="152"/>
      <c r="Q59" s="152"/>
      <c r="R59" s="194"/>
      <c r="S59" s="194" t="s">
        <v>1197</v>
      </c>
      <c r="T59" s="194" t="s">
        <v>1198</v>
      </c>
      <c r="U59" s="194"/>
      <c r="V59" s="194" t="s">
        <v>1197</v>
      </c>
      <c r="W59" s="194" t="s">
        <v>1198</v>
      </c>
      <c r="X59" s="194"/>
      <c r="Y59" s="345" t="s">
        <v>1197</v>
      </c>
      <c r="Z59" s="194" t="s">
        <v>1198</v>
      </c>
      <c r="AA59" s="225"/>
      <c r="AB59" s="225"/>
    </row>
    <row r="60" spans="1:28" s="162" customFormat="1" ht="15.75" customHeight="1">
      <c r="A60" s="152"/>
      <c r="B60" s="369"/>
      <c r="C60" s="170"/>
      <c r="D60" s="171"/>
      <c r="E60" s="172"/>
      <c r="F60" s="173"/>
      <c r="G60" s="173"/>
      <c r="H60" s="173"/>
      <c r="I60" s="367"/>
      <c r="J60" s="174"/>
      <c r="K60" s="173"/>
      <c r="L60" s="173"/>
      <c r="M60" s="189"/>
      <c r="N60" s="189"/>
      <c r="O60" s="190"/>
      <c r="P60" s="152"/>
      <c r="Q60" s="152"/>
      <c r="R60" s="192" t="s">
        <v>1968</v>
      </c>
      <c r="S60" s="371">
        <f>スコア!V123</f>
        <v>1</v>
      </c>
      <c r="T60" s="194" t="str">
        <f t="shared" ref="T60:T63" si="5">IF(S60=0,"N.A.","")</f>
        <v/>
      </c>
      <c r="U60" s="372" t="s">
        <v>1969</v>
      </c>
      <c r="V60" s="344">
        <f>スコア!V146</f>
        <v>3</v>
      </c>
      <c r="W60" s="194" t="str">
        <f t="shared" ref="W60:W62" si="6">IF(V60=0,"N.A.","")</f>
        <v/>
      </c>
      <c r="X60" s="192" t="s">
        <v>2163</v>
      </c>
      <c r="Y60" s="344" t="e">
        <f>スコア!V173</f>
        <v>#VALUE!</v>
      </c>
      <c r="Z60" s="194" t="e">
        <f>IF(Y60=0,"N.A.","")</f>
        <v>#VALUE!</v>
      </c>
      <c r="AA60" s="225"/>
      <c r="AB60" s="225"/>
    </row>
    <row r="61" spans="1:28" s="162" customFormat="1" ht="15.75" customHeight="1">
      <c r="A61" s="152"/>
      <c r="B61" s="369"/>
      <c r="C61" s="170"/>
      <c r="D61" s="171"/>
      <c r="E61" s="172"/>
      <c r="F61" s="173"/>
      <c r="G61" s="173"/>
      <c r="H61" s="173"/>
      <c r="I61" s="367"/>
      <c r="J61" s="174"/>
      <c r="K61" s="173"/>
      <c r="L61" s="173"/>
      <c r="M61" s="189"/>
      <c r="N61" s="189"/>
      <c r="O61" s="190"/>
      <c r="P61" s="152"/>
      <c r="Q61" s="152"/>
      <c r="R61" s="192" t="s">
        <v>2164</v>
      </c>
      <c r="S61" s="371">
        <f>スコア!V124</f>
        <v>3</v>
      </c>
      <c r="T61" s="194" t="str">
        <f t="shared" si="5"/>
        <v/>
      </c>
      <c r="U61" s="372" t="s">
        <v>2165</v>
      </c>
      <c r="V61" s="344">
        <f>スコア!V151</f>
        <v>3</v>
      </c>
      <c r="W61" s="194" t="str">
        <f t="shared" si="6"/>
        <v/>
      </c>
      <c r="X61" s="192" t="s">
        <v>2166</v>
      </c>
      <c r="Y61" s="344">
        <f>スコア!V174</f>
        <v>2.8</v>
      </c>
      <c r="Z61" s="194" t="str">
        <f t="shared" ref="Z61:Z62" si="7">IF(Y61=0,"N.A.","")</f>
        <v/>
      </c>
      <c r="AA61" s="225"/>
      <c r="AB61" s="225"/>
    </row>
    <row r="62" spans="1:28" s="162" customFormat="1" ht="15.75" customHeight="1" thickBot="1">
      <c r="A62" s="152"/>
      <c r="B62" s="373"/>
      <c r="C62" s="374"/>
      <c r="D62" s="375"/>
      <c r="E62" s="374"/>
      <c r="F62" s="376"/>
      <c r="G62" s="376"/>
      <c r="H62" s="376"/>
      <c r="I62" s="377"/>
      <c r="J62" s="241"/>
      <c r="K62" s="241"/>
      <c r="L62" s="241"/>
      <c r="M62" s="378"/>
      <c r="N62" s="378"/>
      <c r="O62" s="379"/>
      <c r="P62" s="152"/>
      <c r="Q62" s="152"/>
      <c r="R62" s="192" t="s">
        <v>2167</v>
      </c>
      <c r="S62" s="371" t="e">
        <f>スコア!V129</f>
        <v>#DIV/0!</v>
      </c>
      <c r="T62" s="194" t="e">
        <f t="shared" si="5"/>
        <v>#DIV/0!</v>
      </c>
      <c r="U62" s="380" t="s">
        <v>2168</v>
      </c>
      <c r="V62" s="381">
        <f>スコア!V166</f>
        <v>3.2</v>
      </c>
      <c r="W62" s="194" t="str">
        <f t="shared" si="6"/>
        <v/>
      </c>
      <c r="X62" s="192" t="s">
        <v>2169</v>
      </c>
      <c r="Y62" s="344">
        <f>スコア!V183</f>
        <v>3</v>
      </c>
      <c r="Z62" s="194" t="str">
        <f t="shared" si="7"/>
        <v/>
      </c>
      <c r="AA62" s="225"/>
      <c r="AB62" s="225"/>
    </row>
    <row r="63" spans="1:28" s="162" customFormat="1" ht="6" customHeight="1" thickBot="1">
      <c r="A63" s="152"/>
      <c r="B63" s="382"/>
      <c r="C63" s="367"/>
      <c r="D63" s="383"/>
      <c r="E63" s="172"/>
      <c r="F63" s="173"/>
      <c r="G63" s="173"/>
      <c r="H63" s="173"/>
      <c r="I63" s="174"/>
      <c r="J63" s="174"/>
      <c r="K63" s="173"/>
      <c r="L63" s="173"/>
      <c r="M63" s="189"/>
      <c r="N63" s="189"/>
      <c r="O63" s="189"/>
      <c r="P63" s="152"/>
      <c r="Q63" s="233"/>
      <c r="R63" s="192" t="s">
        <v>2170</v>
      </c>
      <c r="S63" s="371">
        <f>スコア!V138</f>
        <v>3</v>
      </c>
      <c r="T63" s="194" t="str">
        <f t="shared" si="5"/>
        <v/>
      </c>
      <c r="U63" s="225"/>
      <c r="V63" s="384"/>
      <c r="W63" s="384"/>
      <c r="X63" s="384"/>
      <c r="Y63" s="384"/>
      <c r="Z63" s="384"/>
      <c r="AA63" s="225"/>
      <c r="AB63" s="225"/>
    </row>
    <row r="64" spans="1:28" s="162" customFormat="1" ht="15.75">
      <c r="A64" s="152"/>
      <c r="B64" s="251" t="s">
        <v>2171</v>
      </c>
      <c r="C64" s="385"/>
      <c r="D64" s="386"/>
      <c r="E64" s="385"/>
      <c r="F64" s="385"/>
      <c r="G64" s="385"/>
      <c r="H64" s="387"/>
      <c r="I64" s="388"/>
      <c r="J64" s="385"/>
      <c r="K64" s="385"/>
      <c r="L64" s="385"/>
      <c r="M64" s="389"/>
      <c r="N64" s="389"/>
      <c r="O64" s="390"/>
      <c r="P64" s="152"/>
      <c r="Q64" s="233"/>
      <c r="R64" s="225"/>
      <c r="S64" s="225"/>
      <c r="T64" s="225"/>
      <c r="U64" s="225"/>
      <c r="V64" s="384"/>
      <c r="W64" s="384"/>
      <c r="X64" s="384"/>
      <c r="Y64" s="384"/>
      <c r="Z64" s="384"/>
      <c r="AA64" s="225"/>
      <c r="AB64" s="225"/>
    </row>
    <row r="65" spans="1:28" s="162" customFormat="1" ht="14.25">
      <c r="A65" s="152"/>
      <c r="B65" s="391" t="s">
        <v>2172</v>
      </c>
      <c r="C65" s="392"/>
      <c r="D65" s="393"/>
      <c r="E65" s="392"/>
      <c r="F65" s="392"/>
      <c r="G65" s="392"/>
      <c r="H65" s="392"/>
      <c r="I65" s="392"/>
      <c r="J65" s="392"/>
      <c r="K65" s="394"/>
      <c r="L65" s="395" t="s">
        <v>2173</v>
      </c>
      <c r="M65" s="396"/>
      <c r="N65" s="396"/>
      <c r="O65" s="397"/>
      <c r="P65" s="152"/>
      <c r="Q65" s="233"/>
      <c r="R65" s="398"/>
      <c r="S65" s="225"/>
      <c r="T65" s="225"/>
      <c r="U65" s="225"/>
      <c r="V65" s="384"/>
      <c r="W65" s="384"/>
      <c r="X65" s="384"/>
      <c r="Y65" s="384"/>
      <c r="Z65" s="384"/>
      <c r="AA65" s="225"/>
      <c r="AB65" s="225"/>
    </row>
    <row r="66" spans="1:28" s="162" customFormat="1" ht="52.5" customHeight="1">
      <c r="A66" s="152"/>
      <c r="B66" s="3477" t="str">
        <f>SUBSTITUTE(配慮!C4,"注）　設計における総合的なコンセプトを簡潔に記載してください。" &amp; CHAR(10),"")</f>
        <v/>
      </c>
      <c r="C66" s="3478"/>
      <c r="D66" s="3478"/>
      <c r="E66" s="3478"/>
      <c r="F66" s="3478"/>
      <c r="G66" s="3478"/>
      <c r="H66" s="3478"/>
      <c r="I66" s="3478"/>
      <c r="J66" s="3478"/>
      <c r="K66" s="3479"/>
      <c r="L66" s="3480" t="str">
        <f>SUBSTITUTE(配慮!C11,"注）　上記の６つのカテゴリー以外に，建設工事における廃棄物削減・リサイクル，歴史的建造物の保存など，建物自体の環境性能としてＣＡＳＢＥＥで評価し難い環境配慮の取組みがあれば，ここに記載してください。" &amp; CHAR(10),"")</f>
        <v/>
      </c>
      <c r="M66" s="3481"/>
      <c r="N66" s="3481"/>
      <c r="O66" s="3482"/>
      <c r="P66" s="152"/>
      <c r="Q66" s="233"/>
      <c r="R66" s="225"/>
      <c r="S66" s="225"/>
      <c r="T66" s="225"/>
      <c r="U66" s="225"/>
      <c r="V66" s="384"/>
      <c r="W66" s="384"/>
      <c r="X66" s="384"/>
      <c r="Y66" s="384"/>
      <c r="Z66" s="384"/>
      <c r="AA66" s="225"/>
      <c r="AB66" s="225"/>
    </row>
    <row r="67" spans="1:28" s="162" customFormat="1" ht="15">
      <c r="A67" s="152"/>
      <c r="B67" s="399" t="str">
        <f>配慮!B5</f>
        <v>Q1 
室内環境</v>
      </c>
      <c r="C67" s="396"/>
      <c r="D67" s="396"/>
      <c r="E67" s="396"/>
      <c r="F67" s="396"/>
      <c r="G67" s="400"/>
      <c r="H67" s="401" t="str">
        <f>配慮!B6</f>
        <v>Q2 
サービス性能</v>
      </c>
      <c r="I67" s="402"/>
      <c r="J67" s="402"/>
      <c r="K67" s="403"/>
      <c r="L67" s="404" t="str">
        <f>配慮!B7</f>
        <v>Q3 
室外環境（敷地内）</v>
      </c>
      <c r="M67" s="405"/>
      <c r="N67" s="406"/>
      <c r="O67" s="407"/>
      <c r="P67" s="152"/>
      <c r="Q67" s="233"/>
      <c r="R67" s="225"/>
      <c r="S67" s="225"/>
      <c r="T67" s="225"/>
      <c r="U67" s="225"/>
      <c r="V67" s="225"/>
      <c r="W67" s="225"/>
      <c r="X67" s="225"/>
      <c r="Y67" s="225"/>
      <c r="Z67" s="225"/>
      <c r="AA67" s="225"/>
      <c r="AB67" s="225"/>
    </row>
    <row r="68" spans="1:28" s="162" customFormat="1" ht="50.25" customHeight="1">
      <c r="A68" s="152"/>
      <c r="B68" s="3483" t="str">
        <f>SUBSTITUTE(配慮!C5,"注）　「Q1　室内環境」に対する配慮事項を簡潔に記載してください。" &amp; CHAR(10),"")</f>
        <v/>
      </c>
      <c r="C68" s="3481"/>
      <c r="D68" s="3481"/>
      <c r="E68" s="3481"/>
      <c r="F68" s="3481"/>
      <c r="G68" s="3484"/>
      <c r="H68" s="3491" t="str">
        <f>SUBSTITUTE(配慮!C6,"注）　「Q2　サービス性能」に対する配慮事項を簡潔に記載してください。" &amp; CHAR(10),"")</f>
        <v/>
      </c>
      <c r="I68" s="3481"/>
      <c r="J68" s="3481"/>
      <c r="K68" s="3484"/>
      <c r="L68" s="3491" t="str">
        <f>SUBSTITUTE(配慮!C7,"注）　「Q3　室外環境（敷地内）」に対する配慮事項を簡潔に記載してください。"&amp;CHAR(10),"")</f>
        <v/>
      </c>
      <c r="M68" s="3481"/>
      <c r="N68" s="3481"/>
      <c r="O68" s="3482"/>
      <c r="P68" s="152"/>
      <c r="Q68" s="233"/>
      <c r="R68" s="225"/>
      <c r="S68" s="225"/>
      <c r="T68" s="225"/>
      <c r="U68" s="225"/>
      <c r="V68" s="225"/>
      <c r="W68" s="225"/>
      <c r="X68" s="225"/>
      <c r="Y68" s="225"/>
      <c r="Z68" s="225"/>
      <c r="AA68" s="225"/>
      <c r="AB68" s="225"/>
    </row>
    <row r="69" spans="1:28" s="162" customFormat="1" ht="15">
      <c r="A69" s="152"/>
      <c r="B69" s="408" t="str">
        <f>配慮!B8</f>
        <v>LR1 
エネルギー</v>
      </c>
      <c r="C69" s="409"/>
      <c r="D69" s="393"/>
      <c r="E69" s="393"/>
      <c r="F69" s="393"/>
      <c r="G69" s="410"/>
      <c r="H69" s="411" t="str">
        <f>配慮!B9</f>
        <v>LR2 
資源・マテリアル</v>
      </c>
      <c r="I69" s="396"/>
      <c r="J69" s="396"/>
      <c r="K69" s="400"/>
      <c r="L69" s="412" t="str">
        <f>配慮!B10</f>
        <v>LR3 
敷地外環境</v>
      </c>
      <c r="M69" s="409"/>
      <c r="N69" s="393"/>
      <c r="O69" s="413"/>
      <c r="P69" s="152"/>
      <c r="Q69" s="233"/>
      <c r="R69" s="225"/>
      <c r="S69" s="225"/>
      <c r="T69" s="225"/>
      <c r="U69" s="225"/>
      <c r="V69" s="225"/>
      <c r="W69" s="225"/>
      <c r="X69" s="225"/>
      <c r="Y69" s="225"/>
      <c r="Z69" s="225"/>
      <c r="AA69" s="225"/>
      <c r="AB69" s="225"/>
    </row>
    <row r="70" spans="1:28" s="162" customFormat="1" ht="61.5" customHeight="1" thickBot="1">
      <c r="A70" s="152"/>
      <c r="B70" s="3470" t="str">
        <f>SUBSTITUTE(配慮!C8,"注）　「LR1　エネルギー」に対する配慮事項を簡潔に記載してください。"&amp;CHAR(10),"")</f>
        <v/>
      </c>
      <c r="C70" s="3471"/>
      <c r="D70" s="3471"/>
      <c r="E70" s="3471"/>
      <c r="F70" s="3471"/>
      <c r="G70" s="3472"/>
      <c r="H70" s="3473" t="str">
        <f>SUBSTITUTE(配慮!C9,"注）　「LR2　資源・マテリアル」に対する配慮事項を簡潔に記載してください。"&amp;CHAR(10),"")</f>
        <v/>
      </c>
      <c r="I70" s="3471"/>
      <c r="J70" s="3471"/>
      <c r="K70" s="3472"/>
      <c r="L70" s="3473" t="str">
        <f>SUBSTITUTE(配慮!C10,"注）　「LR3　敷地外環境」に対する配慮事項を簡潔に記載してください。"&amp;CHAR(10),"")</f>
        <v/>
      </c>
      <c r="M70" s="3471"/>
      <c r="N70" s="3471"/>
      <c r="O70" s="3474"/>
      <c r="P70" s="152"/>
      <c r="Q70" s="233"/>
      <c r="R70" s="225"/>
      <c r="S70" s="225"/>
      <c r="T70" s="225"/>
      <c r="U70" s="225"/>
      <c r="V70" s="225"/>
      <c r="W70" s="225"/>
      <c r="X70" s="225"/>
      <c r="Y70" s="225"/>
      <c r="Z70" s="225"/>
      <c r="AA70" s="225"/>
      <c r="AB70" s="225"/>
    </row>
    <row r="71" spans="1:28" s="162" customFormat="1" ht="8.25" customHeight="1">
      <c r="A71" s="152"/>
      <c r="B71" s="152"/>
      <c r="C71" s="152"/>
      <c r="D71" s="152"/>
      <c r="E71" s="152"/>
      <c r="F71" s="152"/>
      <c r="G71" s="152"/>
      <c r="H71" s="152"/>
      <c r="I71" s="152"/>
      <c r="J71" s="152"/>
      <c r="K71" s="152"/>
      <c r="L71" s="152"/>
      <c r="M71" s="152"/>
      <c r="N71" s="152"/>
      <c r="O71" s="152"/>
      <c r="P71" s="152"/>
      <c r="Q71" s="152"/>
      <c r="R71" s="225"/>
      <c r="S71" s="225"/>
      <c r="T71" s="225"/>
      <c r="U71" s="225"/>
      <c r="V71" s="225"/>
      <c r="W71" s="225"/>
      <c r="X71" s="225"/>
      <c r="Y71" s="225"/>
      <c r="Z71" s="225"/>
      <c r="AA71" s="225"/>
      <c r="AB71" s="225"/>
    </row>
    <row r="72" spans="1:28" s="162" customFormat="1" ht="16.5" hidden="1" thickBot="1">
      <c r="A72" s="152"/>
      <c r="B72" s="414" t="s">
        <v>2174</v>
      </c>
      <c r="C72" s="415"/>
      <c r="D72" s="416"/>
      <c r="E72" s="415"/>
      <c r="F72" s="415"/>
      <c r="G72" s="415"/>
      <c r="H72" s="415"/>
      <c r="I72" s="415"/>
      <c r="J72" s="417"/>
      <c r="K72" s="418"/>
      <c r="L72" s="418"/>
      <c r="M72" s="418"/>
      <c r="N72" s="419"/>
      <c r="O72" s="420" t="s">
        <v>2175</v>
      </c>
      <c r="P72" s="152"/>
      <c r="Q72" s="152"/>
      <c r="R72" s="225"/>
      <c r="S72" s="225"/>
      <c r="T72" s="225"/>
      <c r="U72" s="225"/>
      <c r="V72" s="225"/>
      <c r="W72" s="225"/>
      <c r="X72" s="225"/>
      <c r="Y72" s="225"/>
      <c r="Z72" s="225"/>
      <c r="AA72" s="225"/>
      <c r="AB72" s="225"/>
    </row>
    <row r="73" spans="1:28" s="162" customFormat="1" ht="16.5" hidden="1" thickBot="1">
      <c r="A73" s="152"/>
      <c r="B73" s="421" t="s">
        <v>1098</v>
      </c>
      <c r="C73" s="422"/>
      <c r="D73" s="423"/>
      <c r="E73" s="422"/>
      <c r="F73" s="422"/>
      <c r="G73" s="422"/>
      <c r="H73" s="422"/>
      <c r="I73" s="422"/>
      <c r="J73" s="424"/>
      <c r="K73" s="425"/>
      <c r="L73" s="426"/>
      <c r="M73" s="426"/>
      <c r="N73" s="424"/>
      <c r="O73" s="427" t="s">
        <v>3075</v>
      </c>
      <c r="P73" s="152"/>
      <c r="Q73" s="152"/>
      <c r="R73" s="225"/>
      <c r="S73" s="225"/>
      <c r="T73" s="225"/>
      <c r="U73" s="225"/>
      <c r="V73" s="225"/>
      <c r="W73" s="225"/>
      <c r="X73" s="225"/>
      <c r="Y73" s="225"/>
      <c r="Z73" s="225"/>
      <c r="AA73" s="225"/>
      <c r="AB73" s="225"/>
    </row>
    <row r="74" spans="1:28" s="162" customFormat="1" ht="14.25" hidden="1">
      <c r="A74" s="152"/>
      <c r="B74" s="428"/>
      <c r="C74" s="429"/>
      <c r="D74" s="430"/>
      <c r="E74" s="431" t="s">
        <v>1099</v>
      </c>
      <c r="F74" s="432"/>
      <c r="G74" s="432"/>
      <c r="H74" s="431" t="s">
        <v>407</v>
      </c>
      <c r="I74" s="432"/>
      <c r="J74" s="431" t="s">
        <v>776</v>
      </c>
      <c r="K74" s="433"/>
      <c r="L74" s="431" t="s">
        <v>777</v>
      </c>
      <c r="M74" s="432"/>
      <c r="N74" s="432"/>
      <c r="O74" s="434" t="s">
        <v>778</v>
      </c>
      <c r="P74" s="152"/>
      <c r="Q74" s="152"/>
      <c r="R74" s="225"/>
      <c r="S74" s="225"/>
      <c r="T74" s="225"/>
      <c r="U74" s="225"/>
      <c r="V74" s="225"/>
      <c r="W74" s="225"/>
      <c r="X74" s="225"/>
      <c r="Y74" s="225"/>
      <c r="Z74" s="225"/>
      <c r="AA74" s="225"/>
      <c r="AB74" s="225"/>
    </row>
    <row r="75" spans="1:28" s="162" customFormat="1" ht="14.25" hidden="1">
      <c r="A75" s="152"/>
      <c r="B75" s="435"/>
      <c r="C75" s="436" t="s">
        <v>779</v>
      </c>
      <c r="D75" s="437"/>
      <c r="E75" s="438"/>
      <c r="F75" s="439" t="s">
        <v>780</v>
      </c>
      <c r="G75" s="440"/>
      <c r="H75" s="438"/>
      <c r="I75" s="439" t="s">
        <v>781</v>
      </c>
      <c r="J75" s="441"/>
      <c r="K75" s="439" t="s">
        <v>780</v>
      </c>
      <c r="L75" s="442"/>
      <c r="M75" s="443"/>
      <c r="N75" s="444"/>
      <c r="O75" s="445"/>
      <c r="P75" s="152"/>
      <c r="Q75" s="152"/>
      <c r="R75" s="225"/>
      <c r="S75" s="225"/>
      <c r="T75" s="225"/>
      <c r="U75" s="225"/>
      <c r="V75" s="225"/>
      <c r="W75" s="225"/>
      <c r="X75" s="225"/>
      <c r="Y75" s="225"/>
      <c r="Z75" s="225"/>
      <c r="AA75" s="225"/>
      <c r="AB75" s="225"/>
    </row>
    <row r="76" spans="1:28" s="162" customFormat="1" ht="15.75" hidden="1">
      <c r="A76" s="152"/>
      <c r="B76" s="435"/>
      <c r="C76" s="446" t="s">
        <v>782</v>
      </c>
      <c r="D76" s="447"/>
      <c r="E76" s="448"/>
      <c r="F76" s="348" t="s">
        <v>783</v>
      </c>
      <c r="G76" s="348"/>
      <c r="H76" s="448"/>
      <c r="I76" s="348" t="s">
        <v>784</v>
      </c>
      <c r="J76" s="449"/>
      <c r="K76" s="348" t="s">
        <v>783</v>
      </c>
      <c r="L76" s="450"/>
      <c r="N76" s="451"/>
      <c r="O76" s="452"/>
      <c r="P76" s="152"/>
      <c r="Q76" s="152"/>
      <c r="W76" s="225"/>
      <c r="X76" s="225"/>
      <c r="Y76" s="225"/>
      <c r="Z76" s="225"/>
      <c r="AA76" s="225"/>
      <c r="AB76" s="225"/>
    </row>
    <row r="77" spans="1:28" s="162" customFormat="1" ht="14.25" hidden="1">
      <c r="A77" s="453"/>
      <c r="B77" s="454"/>
      <c r="C77" s="455" t="s">
        <v>785</v>
      </c>
      <c r="D77" s="447"/>
      <c r="E77" s="448"/>
      <c r="F77" s="440" t="s">
        <v>786</v>
      </c>
      <c r="G77" s="440"/>
      <c r="H77" s="448"/>
      <c r="I77" s="440" t="s">
        <v>787</v>
      </c>
      <c r="J77" s="449"/>
      <c r="K77" s="440" t="s">
        <v>786</v>
      </c>
      <c r="L77" s="450"/>
      <c r="N77" s="456"/>
      <c r="O77" s="452"/>
      <c r="P77" s="453"/>
      <c r="Q77" s="152"/>
      <c r="W77" s="225"/>
      <c r="X77" s="225"/>
      <c r="Y77" s="225"/>
      <c r="Z77" s="225"/>
      <c r="AA77" s="225"/>
      <c r="AB77" s="225"/>
    </row>
    <row r="78" spans="1:28" s="162" customFormat="1" ht="15.75" hidden="1">
      <c r="A78" s="152"/>
      <c r="B78" s="435"/>
      <c r="C78" s="457" t="s">
        <v>788</v>
      </c>
      <c r="D78" s="447"/>
      <c r="E78" s="448"/>
      <c r="F78" s="348" t="s">
        <v>783</v>
      </c>
      <c r="G78" s="348"/>
      <c r="H78" s="448"/>
      <c r="I78" s="348" t="s">
        <v>784</v>
      </c>
      <c r="J78" s="449"/>
      <c r="K78" s="348" t="s">
        <v>783</v>
      </c>
      <c r="L78" s="450"/>
      <c r="N78" s="451"/>
      <c r="O78" s="458"/>
      <c r="P78" s="152"/>
      <c r="Q78" s="152"/>
      <c r="W78" s="225"/>
      <c r="X78" s="225"/>
      <c r="Y78" s="225"/>
      <c r="Z78" s="225"/>
      <c r="AA78" s="225"/>
      <c r="AB78" s="225"/>
    </row>
    <row r="79" spans="1:28" s="162" customFormat="1" ht="14.25" hidden="1">
      <c r="A79" s="152"/>
      <c r="B79" s="435"/>
      <c r="C79" s="457" t="s">
        <v>789</v>
      </c>
      <c r="D79" s="447"/>
      <c r="E79" s="448"/>
      <c r="F79" s="459" t="s">
        <v>790</v>
      </c>
      <c r="G79" s="348"/>
      <c r="H79" s="448"/>
      <c r="I79" s="459" t="s">
        <v>791</v>
      </c>
      <c r="J79" s="449"/>
      <c r="K79" s="459" t="s">
        <v>790</v>
      </c>
      <c r="L79" s="450"/>
      <c r="N79" s="451"/>
      <c r="O79" s="190"/>
      <c r="P79" s="152"/>
      <c r="Q79" s="152"/>
      <c r="W79" s="225"/>
      <c r="X79" s="225"/>
      <c r="Y79" s="225"/>
      <c r="Z79" s="225"/>
      <c r="AA79" s="225"/>
      <c r="AB79" s="225"/>
    </row>
    <row r="80" spans="1:28" s="162" customFormat="1" ht="14.25" hidden="1">
      <c r="A80" s="152"/>
      <c r="B80" s="435"/>
      <c r="C80" s="457" t="s">
        <v>792</v>
      </c>
      <c r="D80" s="447"/>
      <c r="E80" s="448"/>
      <c r="F80" s="459" t="s">
        <v>790</v>
      </c>
      <c r="G80" s="348"/>
      <c r="H80" s="448"/>
      <c r="I80" s="459" t="s">
        <v>791</v>
      </c>
      <c r="J80" s="449"/>
      <c r="K80" s="459" t="s">
        <v>790</v>
      </c>
      <c r="L80" s="450"/>
      <c r="N80" s="451"/>
      <c r="O80" s="452"/>
      <c r="P80" s="152"/>
      <c r="Q80" s="152"/>
      <c r="W80" s="225"/>
      <c r="X80" s="225"/>
      <c r="Y80" s="225"/>
      <c r="Z80" s="225"/>
      <c r="AA80" s="225"/>
      <c r="AB80" s="225"/>
    </row>
    <row r="81" spans="1:47" s="162" customFormat="1" ht="15" hidden="1" thickBot="1">
      <c r="A81" s="152"/>
      <c r="B81" s="460"/>
      <c r="C81" s="461"/>
      <c r="D81" s="462"/>
      <c r="E81" s="463"/>
      <c r="F81" s="464"/>
      <c r="G81" s="374"/>
      <c r="H81" s="463"/>
      <c r="I81" s="464"/>
      <c r="J81" s="465"/>
      <c r="K81" s="464"/>
      <c r="L81" s="450"/>
      <c r="N81" s="466"/>
      <c r="O81" s="467"/>
      <c r="P81" s="152"/>
      <c r="Q81" s="152"/>
      <c r="W81" s="225"/>
      <c r="X81" s="225"/>
      <c r="Y81" s="225"/>
      <c r="Z81" s="225"/>
      <c r="AA81" s="225"/>
      <c r="AB81" s="225"/>
    </row>
    <row r="82" spans="1:47" s="162" customFormat="1" ht="16.5" hidden="1" thickBot="1">
      <c r="A82" s="152"/>
      <c r="B82" s="468" t="s">
        <v>793</v>
      </c>
      <c r="C82" s="469"/>
      <c r="D82" s="470"/>
      <c r="E82" s="471"/>
      <c r="F82" s="472"/>
      <c r="G82" s="472"/>
      <c r="H82" s="472"/>
      <c r="I82" s="472"/>
      <c r="J82" s="472"/>
      <c r="K82" s="472"/>
      <c r="L82" s="472"/>
      <c r="M82" s="472"/>
      <c r="N82" s="472"/>
      <c r="O82" s="473"/>
      <c r="P82" s="152"/>
      <c r="Q82" s="152"/>
      <c r="W82" s="225"/>
      <c r="X82" s="225"/>
      <c r="Y82" s="225"/>
      <c r="Z82" s="225"/>
      <c r="AA82" s="225"/>
      <c r="AB82" s="225"/>
    </row>
    <row r="83" spans="1:47" s="162" customFormat="1" ht="15.75" hidden="1">
      <c r="A83" s="152"/>
      <c r="B83" s="474" t="s">
        <v>794</v>
      </c>
      <c r="C83" s="475"/>
      <c r="D83" s="476"/>
      <c r="E83" s="477"/>
      <c r="F83" s="478"/>
      <c r="G83" s="478"/>
      <c r="H83" s="478"/>
      <c r="I83" s="476"/>
      <c r="J83" s="479" t="s">
        <v>795</v>
      </c>
      <c r="K83" s="480"/>
      <c r="L83" s="481"/>
      <c r="M83" s="475"/>
      <c r="N83" s="475"/>
      <c r="O83" s="482"/>
      <c r="P83" s="152"/>
      <c r="Q83" s="152"/>
      <c r="W83" s="225"/>
      <c r="X83" s="225"/>
      <c r="Y83" s="225"/>
      <c r="Z83" s="225"/>
      <c r="AA83" s="225"/>
      <c r="AB83" s="225"/>
    </row>
    <row r="84" spans="1:47" s="162" customFormat="1" ht="15" hidden="1">
      <c r="A84" s="152"/>
      <c r="B84" s="483"/>
      <c r="C84" s="484" t="s">
        <v>796</v>
      </c>
      <c r="D84" s="485"/>
      <c r="E84" s="485"/>
      <c r="F84" s="485"/>
      <c r="G84" s="485"/>
      <c r="H84" s="485"/>
      <c r="I84" s="485"/>
      <c r="J84" s="486" t="s">
        <v>797</v>
      </c>
      <c r="L84" s="487"/>
      <c r="M84" s="263"/>
      <c r="N84" s="263"/>
      <c r="O84" s="264"/>
      <c r="P84" s="152"/>
      <c r="Q84" s="152"/>
      <c r="W84" s="225"/>
      <c r="X84" s="225"/>
      <c r="Y84" s="225"/>
      <c r="Z84" s="225"/>
      <c r="AA84" s="225"/>
      <c r="AB84" s="225"/>
    </row>
    <row r="85" spans="1:47" s="162" customFormat="1" ht="15" hidden="1">
      <c r="A85" s="152"/>
      <c r="B85" s="483"/>
      <c r="C85" s="484"/>
      <c r="D85" s="485"/>
      <c r="E85" s="485"/>
      <c r="F85" s="485"/>
      <c r="G85" s="485"/>
      <c r="H85" s="485"/>
      <c r="I85" s="485"/>
      <c r="J85" s="486"/>
      <c r="L85" s="487"/>
      <c r="M85" s="263"/>
      <c r="N85" s="263"/>
      <c r="O85" s="264"/>
      <c r="P85" s="152"/>
      <c r="Q85" s="152"/>
      <c r="W85" s="225"/>
      <c r="X85" s="225"/>
      <c r="Y85" s="225"/>
      <c r="Z85" s="225"/>
      <c r="AA85" s="225"/>
      <c r="AB85" s="225"/>
    </row>
    <row r="86" spans="1:47" s="162" customFormat="1" ht="15" hidden="1" thickBot="1">
      <c r="A86" s="152"/>
      <c r="B86" s="488"/>
      <c r="C86" s="489"/>
      <c r="D86" s="490"/>
      <c r="E86" s="490"/>
      <c r="F86" s="490"/>
      <c r="G86" s="490"/>
      <c r="H86" s="490"/>
      <c r="I86" s="490"/>
      <c r="J86" s="491"/>
      <c r="K86" s="240"/>
      <c r="L86" s="492"/>
      <c r="M86" s="492"/>
      <c r="N86" s="492"/>
      <c r="O86" s="493"/>
      <c r="P86" s="152"/>
      <c r="Q86" s="152"/>
      <c r="W86" s="161"/>
      <c r="X86" s="161"/>
      <c r="Y86" s="161"/>
      <c r="Z86" s="161"/>
      <c r="AA86" s="161"/>
      <c r="AB86" s="161"/>
    </row>
    <row r="87" spans="1:47" ht="14.25" hidden="1">
      <c r="B87" s="348"/>
      <c r="C87" s="348"/>
      <c r="D87" s="364"/>
      <c r="E87" s="348"/>
      <c r="F87" s="173"/>
      <c r="G87" s="173"/>
      <c r="H87" s="173"/>
      <c r="I87" s="174"/>
      <c r="J87" s="174"/>
      <c r="K87" s="173"/>
      <c r="L87" s="173"/>
      <c r="M87" s="189"/>
      <c r="N87" s="189"/>
      <c r="O87" s="189"/>
      <c r="S87" s="162"/>
      <c r="W87" s="161"/>
      <c r="X87" s="161"/>
      <c r="Y87" s="161"/>
      <c r="Z87" s="161"/>
      <c r="AA87" s="161"/>
      <c r="AB87" s="161"/>
      <c r="AC87" s="162"/>
      <c r="AD87" s="162"/>
      <c r="AE87" s="162"/>
      <c r="AF87" s="162"/>
      <c r="AG87" s="162"/>
      <c r="AH87" s="162"/>
      <c r="AI87" s="162"/>
      <c r="AJ87" s="162"/>
      <c r="AK87" s="162"/>
      <c r="AL87" s="162"/>
      <c r="AM87" s="162"/>
      <c r="AN87" s="162"/>
      <c r="AO87" s="162"/>
      <c r="AP87" s="162"/>
      <c r="AQ87" s="162"/>
      <c r="AR87" s="162"/>
      <c r="AS87" s="162"/>
      <c r="AT87" s="162"/>
      <c r="AU87" s="162"/>
    </row>
    <row r="88" spans="1:47" ht="14.25" hidden="1">
      <c r="B88" s="495"/>
      <c r="C88" s="496"/>
      <c r="D88" s="497"/>
      <c r="E88" s="498"/>
      <c r="F88" s="498"/>
      <c r="G88" s="498"/>
      <c r="H88" s="498"/>
      <c r="I88" s="499"/>
      <c r="J88" s="500"/>
      <c r="K88" s="499"/>
      <c r="L88" s="501"/>
      <c r="M88" s="499"/>
      <c r="N88" s="502"/>
      <c r="O88" s="503"/>
      <c r="R88" s="161"/>
      <c r="S88" s="161"/>
      <c r="T88" s="161"/>
      <c r="U88" s="161"/>
      <c r="V88" s="161"/>
      <c r="W88" s="161"/>
      <c r="X88" s="161"/>
      <c r="Y88" s="161"/>
      <c r="Z88" s="161"/>
      <c r="AA88" s="161"/>
      <c r="AB88" s="161"/>
      <c r="AC88" s="162"/>
      <c r="AD88" s="162"/>
      <c r="AE88" s="162"/>
      <c r="AF88" s="162"/>
      <c r="AG88" s="162"/>
      <c r="AH88" s="162"/>
      <c r="AI88" s="162"/>
      <c r="AJ88" s="162"/>
      <c r="AK88" s="162"/>
      <c r="AL88" s="162"/>
      <c r="AM88" s="162"/>
      <c r="AN88" s="162"/>
      <c r="AO88" s="162"/>
      <c r="AP88" s="162"/>
      <c r="AQ88" s="162"/>
      <c r="AR88" s="162"/>
      <c r="AS88" s="162"/>
      <c r="AT88" s="162"/>
      <c r="AU88" s="162"/>
    </row>
    <row r="89" spans="1:47" ht="14.25" hidden="1">
      <c r="B89" s="504"/>
      <c r="C89" s="505" t="s">
        <v>798</v>
      </c>
      <c r="D89" s="506" t="s">
        <v>1561</v>
      </c>
      <c r="E89" s="507" t="s">
        <v>1562</v>
      </c>
      <c r="G89" s="162"/>
      <c r="H89" s="507" t="s">
        <v>1563</v>
      </c>
      <c r="J89" s="510" t="s">
        <v>1564</v>
      </c>
      <c r="L89" s="510" t="s">
        <v>1565</v>
      </c>
      <c r="N89" s="512" t="s">
        <v>1566</v>
      </c>
      <c r="O89" s="513"/>
      <c r="R89" s="161"/>
      <c r="S89" s="161"/>
      <c r="T89" s="161"/>
      <c r="U89" s="161"/>
      <c r="V89" s="161"/>
      <c r="W89" s="161"/>
      <c r="X89" s="161"/>
      <c r="Y89" s="161"/>
      <c r="Z89" s="161"/>
      <c r="AA89" s="161"/>
      <c r="AB89" s="161"/>
      <c r="AC89" s="162"/>
      <c r="AD89" s="162"/>
      <c r="AE89" s="162"/>
      <c r="AF89" s="162"/>
      <c r="AG89" s="162"/>
      <c r="AH89" s="162"/>
      <c r="AI89" s="162"/>
      <c r="AJ89" s="162"/>
      <c r="AK89" s="162"/>
      <c r="AL89" s="162"/>
      <c r="AM89" s="162"/>
      <c r="AN89" s="162"/>
      <c r="AO89" s="162"/>
      <c r="AP89" s="162"/>
      <c r="AQ89" s="162"/>
      <c r="AR89" s="162"/>
      <c r="AS89" s="162"/>
      <c r="AT89" s="162"/>
      <c r="AU89" s="162"/>
    </row>
    <row r="90" spans="1:47" ht="14.25" hidden="1">
      <c r="A90" s="233"/>
      <c r="B90" s="504"/>
      <c r="C90" s="505" t="s">
        <v>2281</v>
      </c>
      <c r="D90" s="514" t="s">
        <v>2119</v>
      </c>
      <c r="E90" s="515"/>
      <c r="F90" s="516"/>
      <c r="G90" s="516"/>
      <c r="H90" s="516"/>
      <c r="I90" s="517"/>
      <c r="J90" s="517"/>
      <c r="K90" s="518"/>
      <c r="L90" s="518"/>
      <c r="M90" s="189"/>
      <c r="N90" s="189"/>
      <c r="O90" s="519"/>
      <c r="P90" s="233"/>
      <c r="Q90" s="233"/>
    </row>
    <row r="91" spans="1:47" ht="14.25" hidden="1">
      <c r="B91" s="521"/>
      <c r="C91" s="505" t="s">
        <v>2120</v>
      </c>
      <c r="D91" s="522" t="s">
        <v>3076</v>
      </c>
      <c r="E91" s="523"/>
      <c r="G91" s="524"/>
      <c r="O91" s="519"/>
    </row>
    <row r="92" spans="1:47" ht="14.25" hidden="1">
      <c r="B92" s="521"/>
      <c r="C92" s="505"/>
      <c r="D92" s="522" t="s">
        <v>3077</v>
      </c>
      <c r="E92" s="523"/>
      <c r="G92" s="524"/>
      <c r="O92" s="519"/>
    </row>
    <row r="93" spans="1:47" ht="14.25" hidden="1">
      <c r="B93" s="525"/>
      <c r="C93" s="526" t="s">
        <v>2121</v>
      </c>
      <c r="D93" s="527" t="s">
        <v>3078</v>
      </c>
      <c r="E93" s="528"/>
      <c r="F93" s="529"/>
      <c r="G93" s="530"/>
      <c r="H93" s="529"/>
      <c r="I93" s="531"/>
      <c r="J93" s="531"/>
      <c r="K93" s="529"/>
      <c r="L93" s="529"/>
      <c r="M93" s="532"/>
      <c r="N93" s="532"/>
      <c r="O93" s="533"/>
    </row>
    <row r="94" spans="1:47" ht="14.25">
      <c r="G94" s="524"/>
      <c r="O94" s="189"/>
    </row>
    <row r="95" spans="1:47" ht="14.25">
      <c r="G95" s="524"/>
      <c r="L95" s="524"/>
      <c r="M95" s="189"/>
      <c r="O95" s="189"/>
    </row>
    <row r="96" spans="1:47" ht="14.25">
      <c r="E96" s="511"/>
      <c r="F96" s="535"/>
      <c r="G96" s="524"/>
      <c r="H96" s="524"/>
      <c r="I96" s="518"/>
      <c r="L96" s="524"/>
      <c r="M96" s="189"/>
      <c r="O96" s="189"/>
    </row>
    <row r="97" spans="2:15" ht="14.25">
      <c r="C97" s="536"/>
      <c r="D97" s="366"/>
      <c r="E97" s="511"/>
      <c r="F97" s="535"/>
      <c r="G97" s="524"/>
      <c r="H97" s="524"/>
      <c r="I97" s="518"/>
      <c r="J97" s="518"/>
      <c r="K97" s="524"/>
      <c r="L97" s="524"/>
      <c r="M97" s="189"/>
      <c r="O97" s="189"/>
    </row>
    <row r="98" spans="2:15" ht="14.25">
      <c r="B98" s="537"/>
      <c r="C98" s="538"/>
      <c r="D98" s="539"/>
      <c r="E98" s="511"/>
      <c r="F98" s="535"/>
      <c r="G98" s="516"/>
      <c r="H98" s="516"/>
      <c r="I98" s="517"/>
      <c r="J98" s="517"/>
      <c r="K98" s="518"/>
      <c r="L98" s="518"/>
      <c r="M98" s="189"/>
      <c r="O98" s="189"/>
    </row>
    <row r="99" spans="2:15" ht="14.25" hidden="1">
      <c r="B99" s="537"/>
      <c r="C99" s="537"/>
      <c r="D99" s="540"/>
      <c r="G99" s="516"/>
      <c r="H99" s="516"/>
      <c r="I99" s="517"/>
      <c r="J99" s="517"/>
      <c r="K99" s="518"/>
      <c r="L99" s="518"/>
      <c r="M99" s="189"/>
      <c r="N99" s="189"/>
      <c r="O99" s="189"/>
    </row>
    <row r="100" spans="2:15" ht="14.25" hidden="1">
      <c r="E100" s="172"/>
      <c r="F100" s="173"/>
      <c r="G100" s="173"/>
      <c r="H100" s="173"/>
      <c r="I100" s="174"/>
      <c r="J100" s="174"/>
      <c r="K100" s="173"/>
      <c r="L100" s="173"/>
      <c r="M100" s="189"/>
      <c r="N100" s="189"/>
      <c r="O100" s="189"/>
    </row>
    <row r="101" spans="2:15" ht="14.25" hidden="1">
      <c r="E101" s="172"/>
      <c r="F101" s="173"/>
      <c r="G101" s="173"/>
      <c r="H101" s="173"/>
      <c r="I101" s="174"/>
      <c r="J101" s="174"/>
      <c r="K101" s="173"/>
      <c r="L101" s="173"/>
      <c r="M101" s="189"/>
      <c r="N101" s="189"/>
      <c r="O101" s="189"/>
    </row>
    <row r="102" spans="2:15" ht="14.25" hidden="1">
      <c r="E102" s="172"/>
      <c r="F102" s="173"/>
      <c r="G102" s="173"/>
      <c r="H102" s="173"/>
      <c r="I102" s="174"/>
      <c r="J102" s="174"/>
      <c r="K102" s="173"/>
      <c r="L102" s="173"/>
      <c r="M102" s="189"/>
      <c r="N102" s="189"/>
      <c r="O102" s="189"/>
    </row>
    <row r="103" spans="2:15" ht="14.25" hidden="1">
      <c r="E103" s="172"/>
      <c r="F103" s="173"/>
      <c r="G103" s="173"/>
      <c r="H103" s="173"/>
      <c r="I103" s="174"/>
      <c r="J103" s="174"/>
      <c r="K103" s="173"/>
      <c r="L103" s="173"/>
      <c r="M103" s="189"/>
      <c r="N103" s="189"/>
      <c r="O103" s="189"/>
    </row>
    <row r="104" spans="2:15" ht="14.25" hidden="1">
      <c r="E104" s="172"/>
      <c r="F104" s="173"/>
      <c r="G104" s="173"/>
      <c r="H104" s="173"/>
      <c r="I104" s="174"/>
      <c r="J104" s="174"/>
      <c r="K104" s="173"/>
      <c r="L104" s="173"/>
      <c r="M104" s="189"/>
      <c r="N104" s="189"/>
      <c r="O104" s="189"/>
    </row>
    <row r="105" spans="2:15" ht="14.25" hidden="1">
      <c r="E105" s="172"/>
      <c r="F105" s="173"/>
      <c r="G105" s="173"/>
      <c r="H105" s="173"/>
      <c r="I105" s="174"/>
      <c r="J105" s="174"/>
      <c r="K105" s="173"/>
      <c r="L105" s="173"/>
      <c r="M105" s="189"/>
      <c r="N105" s="189"/>
      <c r="O105" s="189"/>
    </row>
    <row r="106" spans="2:15" ht="14.25" hidden="1">
      <c r="E106" s="172"/>
      <c r="F106" s="173"/>
      <c r="G106" s="173"/>
      <c r="H106" s="173"/>
      <c r="I106" s="174"/>
      <c r="J106" s="174"/>
      <c r="K106" s="173"/>
      <c r="L106" s="173"/>
      <c r="M106" s="189"/>
      <c r="N106" s="189"/>
      <c r="O106" s="189"/>
    </row>
    <row r="107" spans="2:15" ht="14.25" hidden="1">
      <c r="E107" s="172"/>
      <c r="F107" s="173"/>
      <c r="G107" s="173"/>
      <c r="H107" s="173"/>
      <c r="I107" s="174"/>
      <c r="J107" s="174"/>
      <c r="K107" s="173"/>
      <c r="L107" s="173"/>
      <c r="M107" s="189"/>
      <c r="N107" s="189"/>
      <c r="O107" s="189"/>
    </row>
    <row r="108" spans="2:15" ht="14.25" hidden="1">
      <c r="E108" s="172"/>
      <c r="F108" s="173"/>
      <c r="G108" s="173"/>
      <c r="H108" s="173"/>
      <c r="I108" s="174"/>
      <c r="J108" s="174"/>
      <c r="K108" s="173"/>
      <c r="L108" s="173"/>
      <c r="M108" s="189"/>
      <c r="N108" s="189"/>
      <c r="O108" s="189"/>
    </row>
    <row r="109" spans="2:15" ht="14.25" hidden="1">
      <c r="E109" s="172"/>
      <c r="F109" s="173"/>
      <c r="G109" s="173"/>
      <c r="H109" s="173"/>
      <c r="I109" s="174"/>
      <c r="J109" s="174"/>
      <c r="K109" s="173"/>
      <c r="L109" s="173"/>
      <c r="M109" s="189"/>
      <c r="N109" s="189"/>
      <c r="O109" s="189"/>
    </row>
    <row r="110" spans="2:15" ht="14.25" hidden="1">
      <c r="E110" s="172"/>
      <c r="F110" s="173"/>
      <c r="G110" s="173"/>
      <c r="H110" s="173"/>
      <c r="I110" s="174"/>
      <c r="J110" s="174"/>
      <c r="K110" s="173"/>
      <c r="L110" s="173"/>
      <c r="M110" s="189"/>
      <c r="N110" s="189"/>
      <c r="O110" s="189"/>
    </row>
    <row r="111" spans="2:15" ht="14.25" hidden="1">
      <c r="E111" s="172"/>
      <c r="F111" s="173"/>
      <c r="G111" s="173"/>
      <c r="H111" s="173"/>
      <c r="I111" s="174"/>
      <c r="J111" s="174"/>
      <c r="K111" s="173"/>
      <c r="L111" s="173"/>
      <c r="M111" s="189"/>
      <c r="N111" s="189"/>
      <c r="O111" s="189"/>
    </row>
    <row r="112" spans="2:15" ht="14.25" hidden="1">
      <c r="E112" s="172"/>
      <c r="F112" s="173"/>
      <c r="G112" s="173"/>
      <c r="H112" s="173"/>
      <c r="I112" s="174"/>
      <c r="J112" s="174"/>
      <c r="K112" s="173"/>
      <c r="L112" s="173"/>
      <c r="M112" s="189"/>
      <c r="N112" s="189"/>
      <c r="O112" s="189"/>
    </row>
    <row r="113" spans="5:15" ht="14.25" hidden="1">
      <c r="E113" s="172"/>
      <c r="F113" s="173"/>
      <c r="G113" s="173"/>
      <c r="H113" s="173"/>
      <c r="I113" s="174"/>
      <c r="J113" s="174"/>
      <c r="K113" s="173"/>
      <c r="L113" s="173"/>
      <c r="M113" s="189"/>
      <c r="N113" s="189"/>
      <c r="O113" s="189"/>
    </row>
    <row r="114" spans="5:15" ht="14.25" hidden="1">
      <c r="E114" s="172"/>
      <c r="F114" s="173"/>
      <c r="G114" s="173"/>
      <c r="H114" s="173"/>
      <c r="I114" s="174"/>
      <c r="J114" s="174"/>
      <c r="K114" s="173"/>
      <c r="L114" s="173"/>
      <c r="M114" s="189"/>
      <c r="N114" s="189"/>
      <c r="O114" s="189"/>
    </row>
    <row r="115" spans="5:15" ht="14.25" hidden="1">
      <c r="E115" s="172"/>
      <c r="F115" s="173"/>
      <c r="G115" s="173"/>
      <c r="H115" s="173"/>
      <c r="I115" s="174"/>
      <c r="J115" s="174"/>
      <c r="K115" s="173"/>
      <c r="L115" s="173"/>
      <c r="M115" s="189"/>
      <c r="N115" s="189"/>
      <c r="O115" s="189"/>
    </row>
    <row r="116" spans="5:15" ht="14.25" hidden="1">
      <c r="E116" s="172"/>
      <c r="F116" s="173"/>
      <c r="G116" s="173"/>
      <c r="H116" s="173"/>
      <c r="I116" s="174"/>
      <c r="J116" s="174"/>
      <c r="K116" s="173"/>
      <c r="L116" s="173"/>
      <c r="M116" s="189"/>
      <c r="N116" s="189"/>
      <c r="O116" s="189"/>
    </row>
    <row r="117" spans="5:15" ht="14.25" hidden="1">
      <c r="E117" s="172"/>
      <c r="F117" s="173"/>
      <c r="G117" s="173"/>
      <c r="H117" s="173"/>
      <c r="I117" s="174"/>
      <c r="J117" s="174"/>
      <c r="K117" s="173"/>
      <c r="L117" s="173"/>
      <c r="M117" s="189"/>
      <c r="N117" s="189"/>
      <c r="O117" s="189"/>
    </row>
    <row r="118" spans="5:15" ht="14.25" hidden="1">
      <c r="E118" s="172"/>
      <c r="F118" s="173"/>
      <c r="G118" s="173"/>
      <c r="H118" s="173"/>
      <c r="I118" s="174"/>
      <c r="J118" s="174"/>
      <c r="K118" s="173"/>
      <c r="L118" s="173"/>
      <c r="M118" s="189"/>
      <c r="N118" s="189"/>
      <c r="O118" s="189"/>
    </row>
    <row r="119" spans="5:15" ht="14.25" hidden="1">
      <c r="E119" s="172"/>
      <c r="F119" s="173"/>
      <c r="G119" s="173"/>
      <c r="H119" s="173"/>
      <c r="I119" s="174"/>
      <c r="J119" s="174"/>
      <c r="K119" s="173"/>
      <c r="L119" s="173"/>
      <c r="M119" s="189"/>
      <c r="N119" s="189"/>
      <c r="O119" s="189"/>
    </row>
    <row r="120" spans="5:15" ht="14.25" hidden="1">
      <c r="E120" s="172"/>
      <c r="F120" s="173"/>
      <c r="G120" s="173"/>
      <c r="H120" s="173"/>
      <c r="I120" s="174"/>
      <c r="J120" s="174"/>
      <c r="K120" s="173"/>
      <c r="L120" s="173"/>
      <c r="M120" s="189"/>
      <c r="N120" s="189"/>
      <c r="O120" s="189"/>
    </row>
    <row r="121" spans="5:15" ht="14.25" hidden="1">
      <c r="E121" s="172"/>
      <c r="F121" s="173"/>
      <c r="G121" s="173"/>
      <c r="H121" s="173"/>
      <c r="I121" s="174"/>
      <c r="J121" s="174"/>
      <c r="K121" s="173"/>
      <c r="L121" s="173"/>
      <c r="M121" s="189"/>
      <c r="N121" s="189"/>
      <c r="O121" s="189"/>
    </row>
    <row r="122" spans="5:15" ht="14.25" hidden="1">
      <c r="E122" s="172"/>
      <c r="F122" s="173"/>
      <c r="G122" s="173"/>
      <c r="H122" s="173"/>
      <c r="I122" s="174"/>
      <c r="J122" s="174"/>
      <c r="K122" s="173"/>
      <c r="L122" s="173"/>
      <c r="M122" s="189"/>
      <c r="N122" s="189"/>
      <c r="O122" s="189"/>
    </row>
    <row r="123" spans="5:15" ht="14.25" hidden="1">
      <c r="E123" s="172"/>
      <c r="F123" s="173"/>
      <c r="G123" s="173"/>
      <c r="H123" s="173"/>
      <c r="I123" s="174"/>
      <c r="J123" s="174"/>
      <c r="K123" s="173"/>
      <c r="L123" s="173"/>
      <c r="M123" s="189"/>
      <c r="N123" s="189"/>
      <c r="O123" s="189"/>
    </row>
    <row r="124" spans="5:15" ht="14.25" hidden="1">
      <c r="E124" s="172"/>
      <c r="F124" s="173"/>
      <c r="G124" s="173"/>
      <c r="H124" s="173"/>
      <c r="I124" s="174"/>
      <c r="J124" s="174"/>
      <c r="K124" s="173"/>
      <c r="L124" s="173"/>
      <c r="M124" s="189"/>
      <c r="N124" s="189"/>
      <c r="O124" s="189"/>
    </row>
    <row r="125" spans="5:15" ht="14.25" hidden="1">
      <c r="E125" s="172"/>
      <c r="F125" s="173"/>
      <c r="G125" s="173"/>
      <c r="H125" s="173"/>
      <c r="I125" s="174"/>
      <c r="J125" s="174"/>
      <c r="K125" s="173"/>
      <c r="L125" s="173"/>
      <c r="M125" s="189"/>
      <c r="N125" s="189"/>
      <c r="O125" s="189"/>
    </row>
    <row r="126" spans="5:15" ht="14.25" hidden="1">
      <c r="E126" s="172"/>
      <c r="F126" s="173"/>
      <c r="G126" s="173"/>
      <c r="H126" s="173"/>
      <c r="I126" s="174"/>
      <c r="J126" s="174"/>
      <c r="K126" s="173"/>
      <c r="L126" s="173"/>
      <c r="M126" s="189"/>
      <c r="N126" s="189"/>
      <c r="O126" s="189"/>
    </row>
    <row r="127" spans="5:15" ht="14.25" hidden="1">
      <c r="E127" s="172"/>
      <c r="F127" s="173"/>
      <c r="G127" s="173"/>
      <c r="H127" s="173"/>
      <c r="I127" s="174"/>
      <c r="J127" s="174"/>
      <c r="K127" s="173"/>
      <c r="L127" s="173"/>
      <c r="M127" s="189"/>
      <c r="N127" s="189"/>
      <c r="O127" s="189"/>
    </row>
    <row r="128" spans="5:15" ht="14.25" hidden="1">
      <c r="E128" s="172"/>
      <c r="F128" s="173"/>
      <c r="G128" s="173"/>
      <c r="H128" s="173"/>
      <c r="I128" s="174"/>
      <c r="J128" s="174"/>
      <c r="K128" s="173"/>
      <c r="L128" s="173"/>
      <c r="M128" s="189"/>
      <c r="N128" s="189"/>
      <c r="O128" s="189"/>
    </row>
    <row r="129" spans="5:15" ht="14.25" hidden="1">
      <c r="E129" s="172"/>
      <c r="F129" s="173"/>
      <c r="G129" s="173"/>
      <c r="H129" s="173"/>
      <c r="I129" s="174"/>
      <c r="J129" s="174"/>
      <c r="K129" s="173"/>
      <c r="L129" s="173"/>
      <c r="M129" s="189"/>
      <c r="N129" s="189"/>
      <c r="O129" s="189"/>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sheetProtection selectLockedCells="1"/>
  <mergeCells count="28">
    <mergeCell ref="D9:G9"/>
    <mergeCell ref="D8:G8"/>
    <mergeCell ref="J9:K9"/>
    <mergeCell ref="J8:K8"/>
    <mergeCell ref="D17:E17"/>
    <mergeCell ref="D16:E16"/>
    <mergeCell ref="D15:E15"/>
    <mergeCell ref="J17:K17"/>
    <mergeCell ref="J16:K16"/>
    <mergeCell ref="J15:K15"/>
    <mergeCell ref="J13:K13"/>
    <mergeCell ref="D14:E14"/>
    <mergeCell ref="Q2:Q5"/>
    <mergeCell ref="K5:L5"/>
    <mergeCell ref="N5:O5"/>
    <mergeCell ref="B70:G70"/>
    <mergeCell ref="H70:K70"/>
    <mergeCell ref="L70:O70"/>
    <mergeCell ref="D13:E13"/>
    <mergeCell ref="B66:K66"/>
    <mergeCell ref="L66:O66"/>
    <mergeCell ref="B68:G68"/>
    <mergeCell ref="H37:K39"/>
    <mergeCell ref="H68:K68"/>
    <mergeCell ref="L68:O68"/>
    <mergeCell ref="D12:G12"/>
    <mergeCell ref="D11:G11"/>
    <mergeCell ref="D10:G10"/>
  </mergeCells>
  <phoneticPr fontId="21"/>
  <conditionalFormatting sqref="I28:K35 H29:H35">
    <cfRule type="expression" dxfId="354" priority="1" stopIfTrue="1">
      <formula>$U$36=$W$37</formula>
    </cfRule>
  </conditionalFormatting>
  <conditionalFormatting sqref="H36:K36">
    <cfRule type="expression" dxfId="353" priority="2" stopIfTrue="1">
      <formula>$U$36=$W$37</formula>
    </cfRule>
  </conditionalFormatting>
  <conditionalFormatting sqref="H28">
    <cfRule type="expression" dxfId="352" priority="3" stopIfTrue="1">
      <formula>$U$36=$W$37</formula>
    </cfRule>
    <cfRule type="cellIs" dxfId="351" priority="4" stopIfTrue="1" operator="equal">
      <formula>$U$36</formula>
    </cfRule>
  </conditionalFormatting>
  <hyperlinks>
    <hyperlink ref="Q2" location="メイン!A1" display="戻る" xr:uid="{00000000-0004-0000-0100-000000000000}"/>
  </hyperlinks>
  <printOptions horizontalCentered="1"/>
  <pageMargins left="0.59055118110236227" right="0.59055118110236227" top="0.78740157480314965" bottom="0.59055118110236227" header="0.51181102362204722" footer="0.51181102362204722"/>
  <pageSetup paperSize="9" scale="67"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S38"/>
  <sheetViews>
    <sheetView showGridLines="0" zoomScaleNormal="100" workbookViewId="0">
      <selection activeCell="C23" sqref="C23:G23"/>
    </sheetView>
  </sheetViews>
  <sheetFormatPr defaultColWidth="0" defaultRowHeight="13.5" customHeight="1" zeroHeight="1"/>
  <cols>
    <col min="1" max="1" width="1.125" style="883" customWidth="1"/>
    <col min="2" max="18" width="8.75" style="883" customWidth="1"/>
    <col min="19" max="19" width="1.5" style="883" customWidth="1"/>
    <col min="20" max="16384" width="8.75" style="883" hidden="1"/>
  </cols>
  <sheetData>
    <row r="1" spans="2:18" ht="13.5" customHeight="1">
      <c r="B1" s="2035"/>
      <c r="C1" s="2035"/>
      <c r="D1" s="2035"/>
      <c r="E1" s="2035"/>
      <c r="F1" s="2035"/>
      <c r="G1" s="2035"/>
      <c r="H1" s="2035"/>
      <c r="I1" s="2035"/>
      <c r="J1" s="2035"/>
      <c r="K1" s="2035"/>
      <c r="L1" s="2035"/>
      <c r="M1" s="2035"/>
      <c r="N1" s="2035"/>
      <c r="O1" s="2035"/>
      <c r="P1" s="2035"/>
      <c r="Q1" s="2035"/>
      <c r="R1" s="2035"/>
    </row>
    <row r="2" spans="2:18" ht="13.5" customHeight="1">
      <c r="B2" s="2035"/>
      <c r="C2" s="2035"/>
      <c r="D2" s="2035"/>
      <c r="E2" s="2035"/>
      <c r="F2" s="2035"/>
      <c r="G2" s="2035"/>
      <c r="H2" s="2035"/>
      <c r="I2" s="2035"/>
      <c r="J2" s="2035"/>
      <c r="K2" s="2035"/>
      <c r="L2" s="2035"/>
      <c r="M2" s="2035"/>
      <c r="N2" s="2035"/>
      <c r="O2" s="2035"/>
      <c r="P2" s="2035"/>
      <c r="Q2" s="2035"/>
      <c r="R2" s="2035"/>
    </row>
    <row r="3" spans="2:18" ht="13.5" customHeight="1">
      <c r="B3" s="2035"/>
      <c r="C3" s="2035"/>
      <c r="D3" s="2035"/>
      <c r="E3" s="2035"/>
      <c r="F3" s="2035"/>
      <c r="G3" s="2035"/>
      <c r="H3" s="2035"/>
      <c r="I3" s="2035"/>
      <c r="J3" s="2035"/>
      <c r="K3" s="2035"/>
      <c r="L3" s="2035"/>
      <c r="M3" s="2035"/>
      <c r="N3" s="2035"/>
      <c r="O3" s="2035"/>
      <c r="P3" s="2035"/>
      <c r="Q3" s="2035"/>
      <c r="R3" s="2035"/>
    </row>
    <row r="4" spans="2:18" ht="13.5" customHeight="1">
      <c r="B4" s="2035"/>
      <c r="C4" s="2035"/>
      <c r="D4" s="2035"/>
      <c r="E4" s="2035"/>
      <c r="F4" s="2035"/>
      <c r="G4" s="2035"/>
      <c r="H4" s="2035"/>
      <c r="I4" s="2035"/>
      <c r="J4" s="2035"/>
      <c r="K4" s="2035"/>
      <c r="L4" s="2035"/>
      <c r="M4" s="2035"/>
      <c r="N4" s="2035"/>
      <c r="O4" s="2035"/>
      <c r="P4" s="2035"/>
      <c r="Q4" s="2035"/>
      <c r="R4" s="2035"/>
    </row>
    <row r="5" spans="2:18" ht="13.5" customHeight="1">
      <c r="B5" s="2035"/>
      <c r="C5" s="2035"/>
      <c r="D5" s="2035"/>
      <c r="E5" s="2035"/>
      <c r="F5" s="2035"/>
      <c r="G5" s="2035"/>
      <c r="H5" s="2035"/>
      <c r="I5" s="2035"/>
      <c r="J5" s="2035"/>
      <c r="K5" s="2035"/>
      <c r="L5" s="2035"/>
      <c r="M5" s="2035"/>
      <c r="N5" s="2035"/>
      <c r="O5" s="2035"/>
      <c r="P5" s="2035"/>
      <c r="Q5" s="2035"/>
      <c r="R5" s="2035"/>
    </row>
    <row r="6" spans="2:18" ht="13.5" customHeight="1">
      <c r="B6" s="2035"/>
      <c r="C6" s="2035"/>
      <c r="D6" s="2035"/>
      <c r="E6" s="2035"/>
      <c r="F6" s="2035"/>
      <c r="G6" s="2035"/>
      <c r="H6" s="2035"/>
      <c r="I6" s="2035"/>
      <c r="J6" s="2035"/>
      <c r="K6" s="2035"/>
      <c r="L6" s="2035"/>
      <c r="M6" s="2035"/>
      <c r="N6" s="2035"/>
      <c r="O6" s="2035"/>
      <c r="P6" s="2035"/>
      <c r="Q6" s="2035"/>
      <c r="R6" s="2035"/>
    </row>
    <row r="7" spans="2:18" ht="13.5" customHeight="1">
      <c r="B7" s="2035"/>
      <c r="C7" s="2035"/>
      <c r="D7" s="2035"/>
      <c r="E7" s="2035"/>
      <c r="F7" s="2035"/>
      <c r="G7" s="2035"/>
      <c r="H7" s="2035"/>
      <c r="I7" s="2035"/>
      <c r="J7" s="2035"/>
      <c r="K7" s="2035"/>
      <c r="L7" s="2035"/>
      <c r="M7" s="2035"/>
      <c r="N7" s="2035"/>
      <c r="O7" s="2035"/>
      <c r="P7" s="2035"/>
      <c r="Q7" s="2035"/>
      <c r="R7" s="2035"/>
    </row>
    <row r="8" spans="2:18" ht="13.5" customHeight="1">
      <c r="B8" s="2035"/>
      <c r="C8" s="2035"/>
      <c r="D8" s="2035"/>
      <c r="E8" s="2035"/>
      <c r="F8" s="2035"/>
      <c r="G8" s="2035"/>
      <c r="H8" s="2035"/>
      <c r="I8" s="2035"/>
      <c r="J8" s="2035"/>
      <c r="K8" s="2035"/>
      <c r="L8" s="2035"/>
      <c r="M8" s="2035"/>
      <c r="N8" s="2035"/>
      <c r="O8" s="2035"/>
      <c r="P8" s="2035"/>
      <c r="Q8" s="2035"/>
      <c r="R8" s="2035"/>
    </row>
    <row r="9" spans="2:18" ht="13.5" customHeight="1">
      <c r="B9" s="2035"/>
      <c r="C9" s="2035"/>
      <c r="D9" s="2035"/>
      <c r="E9" s="2035"/>
      <c r="F9" s="2035"/>
      <c r="G9" s="2035"/>
      <c r="H9" s="2035"/>
      <c r="I9" s="2035"/>
      <c r="J9" s="2035"/>
      <c r="K9" s="2035"/>
      <c r="L9" s="2035"/>
      <c r="M9" s="2035"/>
      <c r="N9" s="2035"/>
      <c r="O9" s="2035"/>
      <c r="P9" s="2035"/>
      <c r="Q9" s="2035"/>
      <c r="R9" s="2035"/>
    </row>
    <row r="10" spans="2:18" ht="13.5" customHeight="1">
      <c r="B10" s="2035"/>
      <c r="C10" s="2035"/>
      <c r="D10" s="2035"/>
      <c r="E10" s="2035"/>
      <c r="F10" s="2035"/>
      <c r="G10" s="2035"/>
      <c r="H10" s="2035"/>
      <c r="I10" s="2035"/>
      <c r="J10" s="2035"/>
      <c r="K10" s="2035"/>
      <c r="L10" s="2035"/>
      <c r="M10" s="2035"/>
      <c r="N10" s="2035"/>
      <c r="O10" s="2035"/>
      <c r="P10" s="2035"/>
      <c r="Q10" s="2035"/>
      <c r="R10" s="2035"/>
    </row>
    <row r="11" spans="2:18" ht="13.5" customHeight="1">
      <c r="B11" s="2035"/>
      <c r="C11" s="2035"/>
      <c r="D11" s="2035"/>
      <c r="E11" s="2035"/>
      <c r="F11" s="2035"/>
      <c r="G11" s="2035"/>
      <c r="H11" s="2035"/>
      <c r="I11" s="2035"/>
      <c r="J11" s="2035"/>
      <c r="K11" s="2035"/>
      <c r="L11" s="2035"/>
      <c r="M11" s="2035"/>
      <c r="N11" s="2035"/>
      <c r="O11" s="2035"/>
      <c r="P11" s="2035"/>
      <c r="Q11" s="2035"/>
      <c r="R11" s="2035"/>
    </row>
    <row r="12" spans="2:18" ht="13.5" customHeight="1">
      <c r="B12" s="2035"/>
      <c r="C12" s="2035"/>
      <c r="D12" s="2035"/>
      <c r="E12" s="2035"/>
      <c r="F12" s="2035"/>
      <c r="G12" s="2035"/>
      <c r="H12" s="2035"/>
      <c r="I12" s="2035"/>
      <c r="J12" s="2035"/>
      <c r="K12" s="2035"/>
      <c r="L12" s="2035"/>
      <c r="M12" s="2035"/>
      <c r="N12" s="2035"/>
      <c r="O12" s="2035"/>
      <c r="P12" s="2035"/>
      <c r="Q12" s="2035"/>
      <c r="R12" s="2035"/>
    </row>
    <row r="13" spans="2:18" ht="18.75">
      <c r="B13" s="2035"/>
      <c r="C13" s="2035"/>
      <c r="D13" s="2035"/>
      <c r="E13" s="2036"/>
      <c r="F13" s="2035"/>
      <c r="G13" s="2035"/>
      <c r="H13" s="2035"/>
      <c r="I13" s="2035"/>
      <c r="J13" s="2035"/>
      <c r="K13" s="2035"/>
      <c r="L13" s="2035"/>
      <c r="M13" s="2035"/>
      <c r="N13" s="2035"/>
      <c r="O13" s="2035"/>
      <c r="P13" s="2035"/>
      <c r="Q13" s="2035"/>
      <c r="R13" s="2035"/>
    </row>
    <row r="14" spans="2:18" ht="13.5" customHeight="1">
      <c r="B14" s="2035"/>
      <c r="C14" s="2035"/>
      <c r="D14" s="2035"/>
      <c r="E14" s="2035"/>
      <c r="F14" s="2035"/>
      <c r="G14" s="2035"/>
      <c r="H14" s="2035"/>
      <c r="I14" s="2035"/>
      <c r="J14" s="2035"/>
      <c r="K14" s="2035"/>
      <c r="L14" s="2035"/>
      <c r="M14" s="2035"/>
      <c r="N14" s="2035"/>
      <c r="O14" s="2035"/>
      <c r="P14" s="2035"/>
      <c r="Q14" s="2035"/>
      <c r="R14" s="2035"/>
    </row>
    <row r="15" spans="2:18" ht="13.5" customHeight="1">
      <c r="B15" s="2035"/>
      <c r="C15" s="2035"/>
      <c r="D15" s="2035"/>
      <c r="E15" s="2035"/>
      <c r="F15" s="2035"/>
      <c r="G15" s="2035"/>
      <c r="H15" s="2035"/>
      <c r="I15" s="2035"/>
      <c r="J15" s="2035"/>
      <c r="K15" s="2035"/>
      <c r="L15" s="2035"/>
      <c r="M15" s="2035"/>
      <c r="N15" s="2035"/>
      <c r="O15" s="2035"/>
      <c r="P15" s="2035"/>
      <c r="Q15" s="2035"/>
      <c r="R15" s="2035"/>
    </row>
    <row r="16" spans="2:18" ht="13.5" customHeight="1">
      <c r="B16" s="2035"/>
      <c r="C16" s="2035"/>
      <c r="D16" s="2035"/>
      <c r="E16" s="2035"/>
      <c r="F16" s="2035"/>
      <c r="G16" s="2035"/>
      <c r="H16" s="2035"/>
      <c r="I16" s="2035"/>
      <c r="J16" s="2035"/>
      <c r="K16" s="2035"/>
      <c r="L16" s="2035"/>
      <c r="M16" s="2035"/>
      <c r="N16" s="2035"/>
      <c r="O16" s="2035"/>
      <c r="P16" s="2035"/>
      <c r="Q16" s="2035"/>
      <c r="R16" s="2035"/>
    </row>
    <row r="17" spans="2:18" ht="13.5" customHeight="1">
      <c r="B17" s="2035"/>
      <c r="C17" s="2035"/>
      <c r="D17" s="2035"/>
      <c r="E17" s="2035"/>
      <c r="F17" s="2035"/>
      <c r="G17" s="2035"/>
      <c r="H17" s="2035"/>
      <c r="I17" s="2035"/>
      <c r="J17" s="2035"/>
      <c r="K17" s="2035"/>
      <c r="L17" s="2035"/>
      <c r="M17" s="2035"/>
      <c r="N17" s="2035"/>
      <c r="O17" s="2035"/>
      <c r="P17" s="2035"/>
      <c r="Q17" s="2035"/>
      <c r="R17" s="2035"/>
    </row>
    <row r="18" spans="2:18" ht="13.5" customHeight="1">
      <c r="B18" s="2035"/>
      <c r="C18" s="2035"/>
      <c r="D18" s="2035"/>
      <c r="E18" s="2035"/>
      <c r="F18" s="2035"/>
      <c r="G18" s="2035"/>
      <c r="H18" s="2035"/>
      <c r="I18" s="2035"/>
      <c r="J18" s="2035"/>
      <c r="K18" s="2035"/>
      <c r="L18" s="2035"/>
      <c r="M18" s="2035"/>
      <c r="N18" s="2035"/>
      <c r="O18" s="2035"/>
      <c r="P18" s="2035"/>
      <c r="Q18" s="2035"/>
      <c r="R18" s="2035"/>
    </row>
    <row r="19" spans="2:18" ht="13.5" customHeight="1">
      <c r="B19" s="2035"/>
      <c r="C19" s="2035"/>
      <c r="D19" s="2035"/>
      <c r="E19" s="2035"/>
      <c r="F19" s="2035"/>
      <c r="G19" s="2035"/>
      <c r="H19" s="2035"/>
      <c r="I19" s="2035"/>
      <c r="J19" s="2035"/>
      <c r="K19" s="2035"/>
      <c r="L19" s="2035"/>
      <c r="M19" s="2035"/>
      <c r="N19" s="2035"/>
      <c r="O19" s="2035"/>
      <c r="P19" s="2035"/>
      <c r="Q19" s="2035"/>
      <c r="R19" s="2035"/>
    </row>
    <row r="20" spans="2:18" ht="13.5" customHeight="1">
      <c r="B20" s="2035"/>
      <c r="C20" s="2035"/>
      <c r="D20" s="2035"/>
      <c r="E20" s="2035"/>
      <c r="F20" s="2035"/>
      <c r="G20" s="2035"/>
      <c r="H20" s="2035"/>
      <c r="I20" s="2035"/>
      <c r="J20" s="2035"/>
      <c r="K20" s="2035"/>
      <c r="L20" s="2035"/>
      <c r="M20" s="2035"/>
      <c r="N20" s="2035"/>
      <c r="O20" s="2035"/>
      <c r="P20" s="2035"/>
      <c r="Q20" s="2035"/>
      <c r="R20" s="2035"/>
    </row>
    <row r="21" spans="2:18" ht="13.5" customHeight="1">
      <c r="B21" s="2035"/>
      <c r="C21" s="2035"/>
      <c r="D21" s="2035"/>
      <c r="E21" s="2035"/>
      <c r="F21" s="2035"/>
      <c r="G21" s="2035"/>
      <c r="H21" s="2035"/>
      <c r="I21" s="2035"/>
      <c r="J21" s="2035"/>
      <c r="K21" s="2035"/>
      <c r="L21" s="2035"/>
      <c r="M21" s="2035"/>
      <c r="N21" s="2035"/>
      <c r="O21" s="2035"/>
      <c r="P21" s="2035"/>
      <c r="Q21" s="2035"/>
      <c r="R21" s="2035"/>
    </row>
    <row r="22" spans="2:18" ht="13.5" customHeight="1">
      <c r="B22" s="2035"/>
      <c r="C22" s="2035"/>
      <c r="D22" s="2035"/>
      <c r="E22" s="2035"/>
      <c r="F22" s="2035"/>
      <c r="G22" s="2035"/>
      <c r="H22" s="2035"/>
      <c r="I22" s="2035"/>
      <c r="J22" s="2035"/>
      <c r="K22" s="2035"/>
      <c r="L22" s="2035"/>
      <c r="M22" s="2035"/>
      <c r="N22" s="2035"/>
      <c r="O22" s="2035"/>
      <c r="P22" s="2035"/>
      <c r="Q22" s="2035"/>
      <c r="R22" s="2035"/>
    </row>
    <row r="23" spans="2:18" ht="13.5" customHeight="1">
      <c r="B23" s="2035"/>
      <c r="C23" s="2035"/>
      <c r="D23" s="2035"/>
      <c r="E23" s="2035"/>
      <c r="F23" s="2035"/>
      <c r="G23" s="2035"/>
      <c r="H23" s="2035"/>
      <c r="I23" s="2035"/>
      <c r="J23" s="2035"/>
      <c r="K23" s="2035"/>
      <c r="L23" s="2035"/>
      <c r="M23" s="2035"/>
      <c r="N23" s="2035"/>
      <c r="O23" s="2035"/>
      <c r="P23" s="2035"/>
      <c r="Q23" s="2035"/>
      <c r="R23" s="2035"/>
    </row>
    <row r="24" spans="2:18" ht="13.5" customHeight="1">
      <c r="B24" s="2035"/>
      <c r="C24" s="2035"/>
      <c r="D24" s="2035"/>
      <c r="E24" s="2035"/>
      <c r="F24" s="2035"/>
      <c r="G24" s="2035"/>
      <c r="H24" s="2035"/>
      <c r="I24" s="2035"/>
      <c r="J24" s="2035"/>
      <c r="K24" s="2035"/>
      <c r="L24" s="2035"/>
      <c r="M24" s="2035"/>
      <c r="N24" s="2035"/>
      <c r="O24" s="2035"/>
      <c r="P24" s="2035"/>
      <c r="Q24" s="2035"/>
      <c r="R24" s="2035"/>
    </row>
    <row r="25" spans="2:18" ht="13.5" customHeight="1">
      <c r="B25" s="2035"/>
      <c r="C25" s="2035"/>
      <c r="D25" s="2035"/>
      <c r="E25" s="2035"/>
      <c r="F25" s="2035"/>
      <c r="G25" s="2035"/>
      <c r="H25" s="2035"/>
      <c r="I25" s="2035"/>
      <c r="J25" s="2035"/>
      <c r="K25" s="2035"/>
      <c r="L25" s="2035"/>
      <c r="M25" s="2035"/>
      <c r="N25" s="2035"/>
      <c r="O25" s="2035"/>
      <c r="P25" s="2035"/>
      <c r="Q25" s="2035"/>
      <c r="R25" s="2035"/>
    </row>
    <row r="26" spans="2:18" ht="13.5" customHeight="1">
      <c r="B26" s="2035"/>
      <c r="C26" s="2035"/>
      <c r="D26" s="2035"/>
      <c r="E26" s="2035"/>
      <c r="F26" s="2035"/>
      <c r="G26" s="2035"/>
      <c r="H26" s="2035"/>
      <c r="I26" s="2035"/>
      <c r="J26" s="2035"/>
      <c r="K26" s="2035"/>
      <c r="L26" s="2035"/>
      <c r="M26" s="2035"/>
      <c r="N26" s="2035"/>
      <c r="O26" s="2035"/>
      <c r="P26" s="2035"/>
      <c r="Q26" s="2035"/>
      <c r="R26" s="2035"/>
    </row>
    <row r="27" spans="2:18" ht="13.5" customHeight="1">
      <c r="B27" s="2035"/>
      <c r="C27" s="2035"/>
      <c r="D27" s="2035"/>
      <c r="E27" s="2035"/>
      <c r="F27" s="2035"/>
      <c r="G27" s="2035"/>
      <c r="H27" s="2035"/>
      <c r="I27" s="2035"/>
      <c r="J27" s="2035"/>
      <c r="K27" s="2035"/>
      <c r="L27" s="2035"/>
      <c r="M27" s="2035"/>
      <c r="N27" s="2035"/>
      <c r="O27" s="2035"/>
      <c r="P27" s="2035"/>
      <c r="Q27" s="2035"/>
      <c r="R27" s="2035"/>
    </row>
    <row r="28" spans="2:18" ht="13.5" customHeight="1">
      <c r="B28" s="2035"/>
      <c r="C28" s="2035"/>
      <c r="D28" s="2035"/>
      <c r="E28" s="2035"/>
      <c r="F28" s="2035"/>
      <c r="G28" s="2035"/>
      <c r="H28" s="2035"/>
      <c r="I28" s="2035"/>
      <c r="J28" s="2035"/>
      <c r="K28" s="2035"/>
      <c r="L28" s="2035"/>
      <c r="M28" s="2035"/>
      <c r="N28" s="2035"/>
      <c r="O28" s="2035"/>
      <c r="P28" s="2035"/>
      <c r="Q28" s="2035"/>
      <c r="R28" s="2035"/>
    </row>
    <row r="29" spans="2:18" ht="13.5" customHeight="1">
      <c r="B29" s="2035"/>
      <c r="C29" s="2035"/>
      <c r="D29" s="2035"/>
      <c r="E29" s="2035"/>
      <c r="F29" s="2035"/>
      <c r="G29" s="2035"/>
      <c r="H29" s="2035"/>
      <c r="I29" s="2035"/>
      <c r="J29" s="2035"/>
      <c r="K29" s="2035"/>
      <c r="L29" s="2035"/>
      <c r="M29" s="2035"/>
      <c r="N29" s="2035"/>
      <c r="O29" s="2035"/>
      <c r="P29" s="2035"/>
      <c r="Q29" s="2035"/>
      <c r="R29" s="2035"/>
    </row>
    <row r="30" spans="2:18" ht="13.5" customHeight="1">
      <c r="B30" s="2035"/>
      <c r="C30" s="2035"/>
      <c r="D30" s="2035"/>
      <c r="E30" s="2035"/>
      <c r="F30" s="2035"/>
      <c r="G30" s="2035"/>
      <c r="H30" s="2035"/>
      <c r="I30" s="2035"/>
      <c r="J30" s="2035"/>
      <c r="K30" s="2035"/>
      <c r="L30" s="2035"/>
      <c r="M30" s="2035"/>
      <c r="N30" s="2035"/>
      <c r="O30" s="2035"/>
      <c r="P30" s="2035"/>
      <c r="Q30" s="2035"/>
      <c r="R30" s="2035"/>
    </row>
    <row r="31" spans="2:18" ht="13.5" customHeight="1">
      <c r="B31" s="2035"/>
      <c r="C31" s="2035"/>
      <c r="D31" s="2035"/>
      <c r="E31" s="2035"/>
      <c r="F31" s="2035"/>
      <c r="G31" s="2035"/>
      <c r="H31" s="2035"/>
      <c r="I31" s="2035"/>
      <c r="J31" s="2035"/>
      <c r="K31" s="2035"/>
      <c r="L31" s="2035"/>
      <c r="M31" s="2035"/>
      <c r="N31" s="2035"/>
      <c r="O31" s="2035"/>
      <c r="P31" s="2035"/>
      <c r="Q31" s="2035"/>
      <c r="R31" s="2035"/>
    </row>
    <row r="32" spans="2:18" ht="13.5" customHeight="1">
      <c r="B32" s="2035"/>
      <c r="C32" s="2035"/>
      <c r="D32" s="2035"/>
      <c r="E32" s="2035"/>
      <c r="F32" s="2035"/>
      <c r="G32" s="2035"/>
      <c r="H32" s="2035"/>
      <c r="I32" s="2035"/>
      <c r="J32" s="2035"/>
      <c r="K32" s="2035"/>
      <c r="L32" s="2035"/>
      <c r="M32" s="2035"/>
      <c r="N32" s="2035"/>
      <c r="O32" s="2035"/>
      <c r="P32" s="2035"/>
      <c r="Q32" s="2035"/>
      <c r="R32" s="2035"/>
    </row>
    <row r="33" spans="2:18" ht="13.5" customHeight="1">
      <c r="B33" s="2035"/>
      <c r="C33" s="2035"/>
      <c r="D33" s="2035"/>
      <c r="E33" s="2035"/>
      <c r="F33" s="2035"/>
      <c r="G33" s="2035"/>
      <c r="H33" s="2035"/>
      <c r="I33" s="2035"/>
      <c r="J33" s="2035"/>
      <c r="K33" s="2035"/>
      <c r="L33" s="2035"/>
      <c r="M33" s="2035"/>
      <c r="N33" s="2035"/>
      <c r="O33" s="2035"/>
      <c r="P33" s="2035"/>
      <c r="Q33" s="2035"/>
      <c r="R33" s="2035"/>
    </row>
    <row r="34" spans="2:18" ht="13.5" customHeight="1">
      <c r="B34" s="2035"/>
      <c r="C34" s="2035"/>
      <c r="D34" s="2035"/>
      <c r="E34" s="2035"/>
      <c r="F34" s="2035"/>
      <c r="G34" s="2035"/>
      <c r="H34" s="2035"/>
      <c r="I34" s="2035"/>
      <c r="J34" s="2035"/>
      <c r="K34" s="2035"/>
      <c r="L34" s="2035"/>
      <c r="M34" s="2035"/>
      <c r="N34" s="2035"/>
      <c r="O34" s="2035"/>
      <c r="P34" s="2035"/>
      <c r="Q34" s="2035"/>
      <c r="R34" s="2035"/>
    </row>
    <row r="35" spans="2:18" ht="13.5" customHeight="1">
      <c r="B35" s="2035"/>
      <c r="C35" s="2035"/>
      <c r="D35" s="2035"/>
      <c r="E35" s="2035"/>
      <c r="F35" s="2035"/>
      <c r="G35" s="2035"/>
      <c r="H35" s="2035"/>
      <c r="I35" s="2035"/>
      <c r="J35" s="2035"/>
      <c r="K35" s="2035"/>
      <c r="L35" s="2035"/>
      <c r="M35" s="2035"/>
      <c r="N35" s="2035"/>
      <c r="O35" s="2035"/>
      <c r="P35" s="2035"/>
      <c r="Q35" s="2035"/>
      <c r="R35" s="2035"/>
    </row>
    <row r="36" spans="2:18" ht="13.5" customHeight="1">
      <c r="B36" s="2035"/>
      <c r="C36" s="2035"/>
      <c r="D36" s="2035"/>
      <c r="E36" s="2035"/>
      <c r="F36" s="2035"/>
      <c r="G36" s="2035"/>
      <c r="H36" s="2035"/>
      <c r="I36" s="2035"/>
      <c r="J36" s="2035"/>
      <c r="K36" s="2035"/>
      <c r="L36" s="2035"/>
      <c r="M36" s="2035"/>
      <c r="N36" s="2035"/>
      <c r="O36" s="2035"/>
      <c r="P36" s="2035"/>
      <c r="Q36" s="2035"/>
      <c r="R36" s="2035"/>
    </row>
    <row r="37" spans="2:18" ht="13.5" customHeight="1">
      <c r="G37" s="2035"/>
      <c r="H37" s="2035"/>
      <c r="I37" s="2035"/>
      <c r="J37" s="2035"/>
      <c r="K37" s="2035"/>
      <c r="L37" s="2035"/>
      <c r="M37" s="2035"/>
      <c r="N37" s="2035"/>
      <c r="O37" s="2035"/>
      <c r="P37" s="2035"/>
      <c r="Q37" s="2035"/>
      <c r="R37" s="2035"/>
    </row>
    <row r="38" spans="2:18" ht="13.5" hidden="1" customHeight="1">
      <c r="J38" s="2035"/>
      <c r="K38" s="2035"/>
      <c r="L38" s="2035"/>
      <c r="M38" s="2035"/>
      <c r="N38" s="2035"/>
      <c r="O38" s="2035"/>
      <c r="P38" s="2035"/>
      <c r="Q38" s="2035"/>
      <c r="R38" s="2035"/>
    </row>
  </sheetData>
  <sheetProtection algorithmName="SHA-512" hashValue="j+drOofdb9ROUMUothLfvnqwwsROQL+Y3uREl/kDkqDmpSCTBBSRzmB5+Sq9SDuputk1l7Yo98c18OMEdvEQRw==" saltValue="YsSCAgxYxVprWdeSHSnRKw==" spinCount="100000" sheet="1" objects="1" scenarios="1" selectLockedCells="1"/>
  <phoneticPr fontId="21"/>
  <printOptions horizontalCentered="1"/>
  <pageMargins left="0.59055118110236227" right="0.59055118110236227" top="0.78740157480314965" bottom="0.59055118110236227" header="0.51181102362204722" footer="0.51181102362204722"/>
  <pageSetup paperSize="9" scale="60" orientation="portrait" verticalDpi="4294967293"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T116"/>
  <sheetViews>
    <sheetView showGridLines="0" zoomScaleNormal="100" zoomScaleSheetLayoutView="85" workbookViewId="0">
      <selection activeCell="C62" sqref="C62:N63"/>
    </sheetView>
  </sheetViews>
  <sheetFormatPr defaultColWidth="0" defaultRowHeight="12" customHeight="1"/>
  <cols>
    <col min="1" max="1" width="2.875" style="2614" customWidth="1"/>
    <col min="2" max="2" width="2.625" style="2615" customWidth="1"/>
    <col min="3" max="3" width="18" style="2615" customWidth="1"/>
    <col min="4" max="4" width="12.5" style="2615" customWidth="1"/>
    <col min="5" max="5" width="9.25" style="2615" customWidth="1"/>
    <col min="6" max="6" width="6.875" style="2615" customWidth="1"/>
    <col min="7" max="7" width="5.125" style="2615" customWidth="1"/>
    <col min="8" max="8" width="7.375" style="2615" customWidth="1"/>
    <col min="9" max="9" width="11" style="2615" customWidth="1"/>
    <col min="10" max="10" width="12.375" style="2615" customWidth="1"/>
    <col min="11" max="11" width="12.625" style="2615" customWidth="1"/>
    <col min="12" max="12" width="12.375" style="2615" customWidth="1"/>
    <col min="13" max="13" width="5.25" style="2615" customWidth="1"/>
    <col min="14" max="14" width="7.5" style="2615" customWidth="1"/>
    <col min="15" max="16" width="1.875" style="2615" customWidth="1"/>
    <col min="17" max="18" width="9" style="1265" hidden="1" customWidth="1"/>
    <col min="19" max="20" width="9" style="2614" hidden="1" customWidth="1"/>
    <col min="21" max="16384" width="9" style="2615" hidden="1"/>
  </cols>
  <sheetData>
    <row r="1" spans="1:20" ht="12" customHeight="1">
      <c r="B1" s="2614"/>
      <c r="C1" s="2614"/>
      <c r="D1" s="2614"/>
      <c r="E1" s="2614"/>
      <c r="F1" s="2614"/>
      <c r="G1" s="2614"/>
      <c r="H1" s="2614"/>
      <c r="I1" s="2614"/>
      <c r="J1" s="2614"/>
      <c r="K1" s="2614"/>
      <c r="L1" s="2614"/>
      <c r="M1" s="2614"/>
      <c r="N1" s="2614"/>
      <c r="O1" s="2614"/>
    </row>
    <row r="2" spans="1:20" ht="12" customHeight="1">
      <c r="A2" s="2616"/>
      <c r="B2" s="2617"/>
      <c r="C2" s="2617"/>
      <c r="D2" s="2617"/>
      <c r="E2" s="2617"/>
      <c r="F2" s="2617"/>
      <c r="G2" s="2617"/>
      <c r="H2" s="2617"/>
      <c r="I2" s="2617"/>
      <c r="J2" s="2617"/>
      <c r="K2" s="2617"/>
      <c r="L2" s="2617"/>
      <c r="M2" s="2618"/>
      <c r="N2" s="2619"/>
      <c r="O2" s="2620"/>
      <c r="P2" s="2621"/>
      <c r="Q2" s="2622"/>
    </row>
    <row r="3" spans="1:20" ht="12" customHeight="1">
      <c r="A3" s="2616"/>
      <c r="B3" s="2623"/>
      <c r="C3" s="2623"/>
      <c r="D3" s="2623"/>
      <c r="E3" s="2623"/>
      <c r="F3" s="2623"/>
      <c r="G3" s="2623"/>
      <c r="H3" s="2624"/>
      <c r="I3" s="2624"/>
      <c r="J3" s="2625"/>
      <c r="K3" s="2625"/>
      <c r="L3" s="2623"/>
      <c r="M3" s="2626"/>
      <c r="N3" s="2627"/>
      <c r="O3" s="2620"/>
      <c r="P3" s="2621"/>
      <c r="Q3" s="2622"/>
    </row>
    <row r="4" spans="1:20" ht="12" customHeight="1">
      <c r="A4" s="2616"/>
      <c r="B4" s="2623"/>
      <c r="C4" s="2623"/>
      <c r="D4" s="2623"/>
      <c r="E4" s="2623"/>
      <c r="F4" s="2623"/>
      <c r="G4" s="2623"/>
      <c r="H4" s="2624"/>
      <c r="I4" s="2624"/>
      <c r="J4" s="2625"/>
      <c r="K4" s="2625"/>
      <c r="L4" s="2623"/>
      <c r="M4" s="2626"/>
      <c r="N4" s="2627"/>
      <c r="O4" s="2620"/>
      <c r="P4" s="2621"/>
      <c r="Q4" s="2622"/>
    </row>
    <row r="5" spans="1:20" ht="12" customHeight="1">
      <c r="A5" s="2616"/>
      <c r="B5" s="2623"/>
      <c r="C5" s="2623"/>
      <c r="D5" s="2623"/>
      <c r="E5" s="2623"/>
      <c r="F5" s="2623"/>
      <c r="G5" s="2623"/>
      <c r="H5" s="2624"/>
      <c r="I5" s="2624"/>
      <c r="J5" s="2625"/>
      <c r="K5" s="2625"/>
      <c r="L5" s="2623"/>
      <c r="M5" s="2626"/>
      <c r="N5" s="2627"/>
      <c r="O5" s="2620"/>
      <c r="P5" s="2621"/>
      <c r="Q5" s="2622"/>
    </row>
    <row r="6" spans="1:20" ht="14.45" customHeight="1">
      <c r="A6" s="2616"/>
      <c r="B6" s="2623"/>
      <c r="C6" s="2628"/>
      <c r="D6" s="2628"/>
      <c r="E6" s="2629" t="s">
        <v>3079</v>
      </c>
      <c r="F6" s="3529" t="s">
        <v>4158</v>
      </c>
      <c r="G6" s="3529"/>
      <c r="H6" s="3529"/>
      <c r="I6" s="3529"/>
      <c r="J6" s="3529"/>
      <c r="K6" s="2630"/>
      <c r="L6" s="2630"/>
      <c r="M6" s="2630"/>
      <c r="N6" s="2631"/>
      <c r="O6" s="2620"/>
      <c r="P6" s="2621"/>
      <c r="Q6" s="2622"/>
    </row>
    <row r="7" spans="1:20" ht="5.0999999999999996" customHeight="1" thickBot="1">
      <c r="A7" s="2616"/>
      <c r="B7" s="2632"/>
      <c r="C7" s="2633"/>
      <c r="D7" s="2634"/>
      <c r="E7" s="2634"/>
      <c r="F7" s="2635"/>
      <c r="G7" s="2635"/>
      <c r="H7" s="2635"/>
      <c r="I7" s="2635"/>
      <c r="J7" s="2635"/>
      <c r="K7" s="2635"/>
      <c r="L7" s="2635"/>
      <c r="M7" s="2635"/>
      <c r="N7" s="2635"/>
      <c r="O7" s="2620"/>
      <c r="P7" s="2621"/>
      <c r="Q7" s="2622"/>
    </row>
    <row r="8" spans="1:20" ht="15" customHeight="1" thickBot="1">
      <c r="A8" s="2616"/>
      <c r="B8" s="2636" t="s">
        <v>3080</v>
      </c>
      <c r="C8" s="2637"/>
      <c r="D8" s="2638"/>
      <c r="E8" s="256"/>
      <c r="F8" s="256"/>
      <c r="G8" s="256"/>
      <c r="H8" s="256"/>
      <c r="I8" s="256"/>
      <c r="J8" s="2637"/>
      <c r="K8" s="2637"/>
      <c r="L8" s="2637"/>
      <c r="M8" s="2637"/>
      <c r="N8" s="2639"/>
      <c r="O8" s="2620"/>
      <c r="P8" s="2621"/>
      <c r="Q8" s="2616" t="s">
        <v>3081</v>
      </c>
      <c r="R8" s="2616" t="s">
        <v>3082</v>
      </c>
    </row>
    <row r="9" spans="1:20" ht="18" customHeight="1">
      <c r="A9" s="2640"/>
      <c r="B9" s="2641"/>
      <c r="C9" s="2642" t="s">
        <v>3083</v>
      </c>
      <c r="D9" s="3530" t="str">
        <f>メイン!C11</f>
        <v>○○ビル</v>
      </c>
      <c r="E9" s="3530"/>
      <c r="F9" s="3530"/>
      <c r="G9" s="3530"/>
      <c r="H9" s="3530"/>
      <c r="I9" s="3531" t="s">
        <v>598</v>
      </c>
      <c r="J9" s="3533" t="e">
        <f>結果!S12</f>
        <v>#DIV/0!</v>
      </c>
      <c r="K9" s="3523" t="e">
        <f>CHOOSE(結果!$S$13*5,"C","B-","B+","A","S")</f>
        <v>#DIV/0!</v>
      </c>
      <c r="L9" s="3525" t="e">
        <f>VLOOKUP(K9,Q8:R12,2,)</f>
        <v>#DIV/0!</v>
      </c>
      <c r="M9" s="3525"/>
      <c r="N9" s="3526"/>
      <c r="O9" s="2620"/>
      <c r="P9" s="2621"/>
      <c r="Q9" s="2616" t="s">
        <v>604</v>
      </c>
      <c r="R9" s="2616" t="s">
        <v>3084</v>
      </c>
    </row>
    <row r="10" spans="1:20" ht="18" customHeight="1" thickBot="1">
      <c r="A10" s="2640"/>
      <c r="B10" s="2643"/>
      <c r="C10" s="2644" t="s">
        <v>3085</v>
      </c>
      <c r="D10" s="3403">
        <f>メイン!C19</f>
        <v>20320</v>
      </c>
      <c r="E10" s="2645" t="s">
        <v>1930</v>
      </c>
      <c r="F10" s="2742"/>
      <c r="G10" s="2645"/>
      <c r="H10" s="2742"/>
      <c r="I10" s="3532"/>
      <c r="J10" s="3534"/>
      <c r="K10" s="3524"/>
      <c r="L10" s="3525"/>
      <c r="M10" s="3525"/>
      <c r="N10" s="3526"/>
      <c r="O10" s="2620"/>
      <c r="P10" s="2621"/>
      <c r="Q10" s="2616" t="s">
        <v>602</v>
      </c>
      <c r="R10" s="2616" t="s">
        <v>3086</v>
      </c>
      <c r="S10" s="2616"/>
      <c r="T10" s="2616"/>
    </row>
    <row r="11" spans="1:20" ht="18" customHeight="1">
      <c r="A11" s="2640"/>
      <c r="B11" s="2643"/>
      <c r="C11" s="2644" t="s">
        <v>3087</v>
      </c>
      <c r="D11" s="3535" t="str">
        <f>メイン!C20</f>
        <v>○○</v>
      </c>
      <c r="E11" s="3535"/>
      <c r="F11" s="3535"/>
      <c r="G11" s="3535"/>
      <c r="H11" s="3535"/>
      <c r="I11" s="2646" t="s">
        <v>3088</v>
      </c>
      <c r="J11" s="2614"/>
      <c r="K11" s="3536" t="str">
        <f>メイン!C6</f>
        <v>CASBEE-京都-建築(新築)2018年版</v>
      </c>
      <c r="L11" s="3537"/>
      <c r="M11" s="3537"/>
      <c r="N11" s="3538"/>
      <c r="O11" s="2620"/>
      <c r="P11" s="2621"/>
      <c r="Q11" s="2616" t="s">
        <v>601</v>
      </c>
      <c r="R11" s="2616" t="s">
        <v>3089</v>
      </c>
      <c r="T11" s="2647"/>
    </row>
    <row r="12" spans="1:20" ht="18" customHeight="1" thickBot="1">
      <c r="A12" s="2640"/>
      <c r="B12" s="2648"/>
      <c r="C12" s="2649"/>
      <c r="D12" s="3539" t="str">
        <f>メイン!C21</f>
        <v>事務所,集合住宅,</v>
      </c>
      <c r="E12" s="3539"/>
      <c r="F12" s="3539"/>
      <c r="G12" s="3539"/>
      <c r="H12" s="3539"/>
      <c r="I12" s="2650" t="s">
        <v>3090</v>
      </c>
      <c r="J12" s="2651"/>
      <c r="K12" s="3540" t="str">
        <f>メイン!C5</f>
        <v>CASBEE京都-新築2018（v.1.0）</v>
      </c>
      <c r="L12" s="3541"/>
      <c r="M12" s="3541"/>
      <c r="N12" s="3542"/>
      <c r="O12" s="2620"/>
      <c r="P12" s="2621"/>
      <c r="Q12" s="2616" t="s">
        <v>600</v>
      </c>
      <c r="R12" s="2616" t="s">
        <v>3091</v>
      </c>
      <c r="T12" s="2647"/>
    </row>
    <row r="13" spans="1:20" ht="6" customHeight="1" thickBot="1">
      <c r="A13" s="2616"/>
      <c r="B13" s="2616"/>
      <c r="C13" s="2616"/>
      <c r="D13" s="2616"/>
      <c r="E13" s="2616"/>
      <c r="F13" s="2616"/>
      <c r="G13" s="2616"/>
      <c r="H13" s="2616"/>
      <c r="I13" s="2616"/>
      <c r="J13" s="2616"/>
      <c r="K13" s="2616"/>
      <c r="L13" s="2616"/>
      <c r="M13" s="2652"/>
      <c r="N13" s="2653"/>
      <c r="O13" s="2620"/>
      <c r="P13" s="2621"/>
      <c r="Q13" s="2622"/>
    </row>
    <row r="14" spans="1:20" ht="15" customHeight="1" thickBot="1">
      <c r="A14" s="2616"/>
      <c r="B14" s="2654" t="s">
        <v>3092</v>
      </c>
      <c r="C14" s="2655"/>
      <c r="D14" s="2655"/>
      <c r="E14" s="2656"/>
      <c r="F14" s="2657"/>
      <c r="G14" s="2658"/>
      <c r="H14" s="2658"/>
      <c r="I14" s="2658"/>
      <c r="J14" s="2658"/>
      <c r="K14" s="2658"/>
      <c r="L14" s="2658"/>
      <c r="M14" s="2659"/>
      <c r="N14" s="2660"/>
      <c r="O14" s="2620"/>
      <c r="P14" s="2621"/>
      <c r="Q14" s="2622"/>
    </row>
    <row r="15" spans="1:20" ht="15" customHeight="1" thickBot="1">
      <c r="A15" s="2616"/>
      <c r="B15" s="2661" t="s">
        <v>3093</v>
      </c>
      <c r="C15" s="2662"/>
      <c r="D15" s="2662"/>
      <c r="E15" s="2663"/>
      <c r="F15" s="3543"/>
      <c r="G15" s="3543"/>
      <c r="H15" s="3544"/>
      <c r="I15" s="2664" t="s">
        <v>3094</v>
      </c>
      <c r="J15" s="2662"/>
      <c r="K15" s="2662"/>
      <c r="L15" s="2662"/>
      <c r="M15" s="2662"/>
      <c r="N15" s="2665"/>
      <c r="O15" s="2620"/>
      <c r="P15" s="2621"/>
      <c r="Q15" s="2622"/>
    </row>
    <row r="16" spans="1:20" ht="13.5" customHeight="1" thickBot="1">
      <c r="A16" s="2616"/>
      <c r="B16" s="2666"/>
      <c r="C16" s="3527"/>
      <c r="D16" s="3527"/>
      <c r="E16" s="3527"/>
      <c r="F16" s="3528"/>
      <c r="G16" s="3528"/>
      <c r="H16" s="2667"/>
      <c r="I16" s="2668"/>
      <c r="J16" s="2668"/>
      <c r="K16" s="2668"/>
      <c r="L16" s="2668"/>
      <c r="M16" s="2669"/>
      <c r="N16" s="2670"/>
      <c r="O16" s="2671"/>
      <c r="P16" s="2672"/>
      <c r="Q16" s="2673">
        <f>ROUND(M27,1)</f>
        <v>24</v>
      </c>
    </row>
    <row r="17" spans="1:17" ht="29.25" customHeight="1" thickBot="1">
      <c r="A17" s="2616"/>
      <c r="B17" s="2674"/>
      <c r="C17" s="3545" t="s">
        <v>3095</v>
      </c>
      <c r="D17" s="3545"/>
      <c r="E17" s="3545"/>
      <c r="F17" s="3546"/>
      <c r="G17" s="3546"/>
      <c r="H17" s="2675"/>
      <c r="I17" s="2676"/>
      <c r="J17" s="2676"/>
      <c r="K17" s="2676"/>
      <c r="L17" s="2676"/>
      <c r="M17" s="2677"/>
      <c r="N17" s="2678"/>
      <c r="O17" s="2679"/>
      <c r="P17" s="2680"/>
      <c r="Q17" s="2681">
        <f>IF(Q16&gt;N27*0.85,5,IF(Q16&gt;N27*0.7,4,IF(Q16&gt;N27*0.55,3,IF(Q16&gt;N27*0.4,2,1))))</f>
        <v>3</v>
      </c>
    </row>
    <row r="18" spans="1:17" ht="13.5" customHeight="1" thickBot="1">
      <c r="A18" s="2616"/>
      <c r="B18" s="2682"/>
      <c r="C18" s="3547"/>
      <c r="D18" s="3547"/>
      <c r="E18" s="3547"/>
      <c r="F18" s="3548"/>
      <c r="G18" s="3548"/>
      <c r="H18" s="2683"/>
      <c r="I18" s="2684"/>
      <c r="J18" s="2684"/>
      <c r="K18" s="2684"/>
      <c r="L18" s="2684"/>
      <c r="M18" s="2685"/>
      <c r="N18" s="2686"/>
      <c r="O18" s="2679"/>
      <c r="P18" s="2680"/>
      <c r="Q18" s="2687"/>
    </row>
    <row r="19" spans="1:17" ht="13.5" customHeight="1" thickBot="1">
      <c r="A19" s="2616"/>
      <c r="B19" s="2688"/>
      <c r="C19" s="3549"/>
      <c r="D19" s="3549"/>
      <c r="E19" s="3549"/>
      <c r="F19" s="3550"/>
      <c r="G19" s="3550"/>
      <c r="H19" s="2689"/>
      <c r="I19" s="2668"/>
      <c r="J19" s="2668"/>
      <c r="K19" s="2668"/>
      <c r="L19" s="2668"/>
      <c r="M19" s="2669"/>
      <c r="N19" s="2670"/>
      <c r="O19" s="2679"/>
      <c r="P19" s="2680"/>
      <c r="Q19" s="2690">
        <f>ROUND($M$50,1)</f>
        <v>24</v>
      </c>
    </row>
    <row r="20" spans="1:17" ht="29.25" customHeight="1" thickBot="1">
      <c r="A20" s="2616"/>
      <c r="B20" s="2691"/>
      <c r="C20" s="3551" t="s">
        <v>3096</v>
      </c>
      <c r="D20" s="3551"/>
      <c r="E20" s="3551"/>
      <c r="F20" s="3552"/>
      <c r="G20" s="3552"/>
      <c r="H20" s="2692"/>
      <c r="I20" s="2676"/>
      <c r="J20" s="2676"/>
      <c r="K20" s="2676"/>
      <c r="L20" s="2676"/>
      <c r="M20" s="2677"/>
      <c r="N20" s="2678"/>
      <c r="O20" s="2679"/>
      <c r="P20" s="2680"/>
      <c r="Q20" s="2693">
        <f>IF(Q19&gt;N50*0.85,5,IF(Q19&gt;N50*0.7,4,IF(Q19&gt;N50*0.55,3,IF(Q19&gt;N50*0.4,2,1))))</f>
        <v>3</v>
      </c>
    </row>
    <row r="21" spans="1:17" ht="13.5" customHeight="1" thickBot="1">
      <c r="A21" s="2616"/>
      <c r="B21" s="2694"/>
      <c r="C21" s="3553"/>
      <c r="D21" s="3553"/>
      <c r="E21" s="3553"/>
      <c r="F21" s="3554"/>
      <c r="G21" s="3554"/>
      <c r="H21" s="2695"/>
      <c r="I21" s="2684"/>
      <c r="J21" s="2684"/>
      <c r="K21" s="2684"/>
      <c r="L21" s="2684"/>
      <c r="M21" s="2685"/>
      <c r="N21" s="2686"/>
      <c r="O21" s="2679"/>
      <c r="P21" s="2680"/>
      <c r="Q21" s="2687"/>
    </row>
    <row r="22" spans="1:17" ht="13.5" customHeight="1" thickBot="1">
      <c r="A22" s="2616"/>
      <c r="B22" s="2696"/>
      <c r="C22" s="3555"/>
      <c r="D22" s="3555"/>
      <c r="E22" s="3555"/>
      <c r="F22" s="3556"/>
      <c r="G22" s="3556"/>
      <c r="H22" s="2697"/>
      <c r="I22" s="2668"/>
      <c r="J22" s="2668"/>
      <c r="K22" s="2668"/>
      <c r="L22" s="2668"/>
      <c r="M22" s="2669"/>
      <c r="N22" s="2670"/>
      <c r="O22" s="2679"/>
      <c r="P22" s="2680"/>
      <c r="Q22" s="2698">
        <f>ROUND($M$67,1)</f>
        <v>25</v>
      </c>
    </row>
    <row r="23" spans="1:17" ht="29.25" customHeight="1" thickBot="1">
      <c r="A23" s="2616"/>
      <c r="B23" s="2699"/>
      <c r="C23" s="3557" t="s">
        <v>3097</v>
      </c>
      <c r="D23" s="3557"/>
      <c r="E23" s="3557"/>
      <c r="F23" s="3557"/>
      <c r="G23" s="3557"/>
      <c r="H23" s="2697"/>
      <c r="I23" s="2676"/>
      <c r="J23" s="2676"/>
      <c r="K23" s="2676"/>
      <c r="L23" s="2676"/>
      <c r="M23" s="2677"/>
      <c r="N23" s="2678"/>
      <c r="O23" s="2679"/>
      <c r="P23" s="2680"/>
      <c r="Q23" s="2700">
        <f>IF(Q22&gt;N67*0.85,5,IF(Q22&gt;N67*0.7,4,IF(Q22&gt;N67*0.55,3,IF(Q22&gt;N67*0.4,2,1))))</f>
        <v>3</v>
      </c>
    </row>
    <row r="24" spans="1:17" ht="13.5" customHeight="1" thickBot="1">
      <c r="A24" s="2616"/>
      <c r="B24" s="2701"/>
      <c r="C24" s="3558"/>
      <c r="D24" s="3558"/>
      <c r="E24" s="3558"/>
      <c r="F24" s="3559"/>
      <c r="G24" s="3559"/>
      <c r="H24" s="2702"/>
      <c r="I24" s="2703"/>
      <c r="J24" s="2703"/>
      <c r="K24" s="2703"/>
      <c r="L24" s="2703"/>
      <c r="M24" s="2704"/>
      <c r="N24" s="2705"/>
      <c r="O24" s="2679"/>
      <c r="P24" s="2680"/>
      <c r="Q24" s="2706"/>
    </row>
    <row r="25" spans="1:17" ht="6" customHeight="1" thickBot="1">
      <c r="A25" s="2616"/>
      <c r="B25" s="2632"/>
      <c r="C25" s="2632"/>
      <c r="D25" s="2632"/>
      <c r="E25" s="2632"/>
      <c r="F25" s="2632"/>
      <c r="G25" s="2632"/>
      <c r="H25" s="2632"/>
      <c r="I25" s="2632"/>
      <c r="J25" s="2632"/>
      <c r="K25" s="2632"/>
      <c r="L25" s="2632"/>
      <c r="M25" s="2707"/>
      <c r="N25" s="2677"/>
      <c r="O25" s="2620"/>
      <c r="P25" s="2621"/>
      <c r="Q25" s="2622"/>
    </row>
    <row r="26" spans="1:17" ht="15" customHeight="1">
      <c r="A26" s="2616"/>
      <c r="B26" s="2708" t="s">
        <v>3098</v>
      </c>
      <c r="C26" s="2709"/>
      <c r="D26" s="2709"/>
      <c r="E26" s="2710"/>
      <c r="F26" s="2711"/>
      <c r="G26" s="2710"/>
      <c r="H26" s="2712"/>
      <c r="I26" s="2713"/>
      <c r="J26" s="2710"/>
      <c r="K26" s="2710"/>
      <c r="L26" s="2710"/>
      <c r="M26" s="2710"/>
      <c r="N26" s="2714"/>
      <c r="O26" s="2620"/>
      <c r="P26" s="2621"/>
    </row>
    <row r="27" spans="1:17" ht="15" customHeight="1">
      <c r="A27" s="2616"/>
      <c r="B27" s="2715">
        <v>1</v>
      </c>
      <c r="C27" s="2716" t="s">
        <v>3099</v>
      </c>
      <c r="D27" s="2716"/>
      <c r="E27" s="2717"/>
      <c r="F27" s="2717"/>
      <c r="G27" s="2717"/>
      <c r="H27" s="2717"/>
      <c r="I27" s="2717"/>
      <c r="J27" s="2717"/>
      <c r="K27" s="2717"/>
      <c r="L27" s="2718" t="s">
        <v>3100</v>
      </c>
      <c r="M27" s="3385">
        <f>SUM(M28,M38,M45)</f>
        <v>24</v>
      </c>
      <c r="N27" s="2719">
        <f>SUM(N28,N38,N45)</f>
        <v>41</v>
      </c>
      <c r="O27" s="2620"/>
      <c r="P27" s="2621"/>
    </row>
    <row r="28" spans="1:17" ht="15" customHeight="1" thickBot="1">
      <c r="A28" s="2616"/>
      <c r="B28" s="2720"/>
      <c r="C28" s="2721" t="s">
        <v>3101</v>
      </c>
      <c r="D28" s="2722"/>
      <c r="E28" s="2723"/>
      <c r="F28" s="2723"/>
      <c r="G28" s="2723"/>
      <c r="H28" s="2723"/>
      <c r="I28" s="2723"/>
      <c r="J28" s="2723"/>
      <c r="K28" s="2723"/>
      <c r="L28" s="2724" t="s">
        <v>3102</v>
      </c>
      <c r="M28" s="3386">
        <f>SUM(Q29,N34:N35,N30)</f>
        <v>12</v>
      </c>
      <c r="N28" s="2725">
        <f>20-SUM(Q30:Q35)</f>
        <v>20</v>
      </c>
      <c r="O28" s="2620"/>
      <c r="P28" s="2621"/>
      <c r="Q28" s="2726" t="s">
        <v>3103</v>
      </c>
    </row>
    <row r="29" spans="1:17" ht="12" customHeight="1" thickBot="1">
      <c r="A29" s="2616"/>
      <c r="B29" s="2727"/>
      <c r="C29" s="2728" t="s">
        <v>3104</v>
      </c>
      <c r="D29" s="2728"/>
      <c r="E29" s="2729"/>
      <c r="F29" s="2729"/>
      <c r="G29" s="2729"/>
      <c r="H29" s="2730"/>
      <c r="I29" s="2731" t="s">
        <v>3105</v>
      </c>
      <c r="J29" s="2729"/>
      <c r="K29" s="2729"/>
      <c r="L29" s="2729"/>
      <c r="M29" s="2729"/>
      <c r="N29" s="2732"/>
      <c r="O29" s="2620"/>
      <c r="P29" s="2621"/>
      <c r="Q29" s="2733">
        <f>IF(SUM(H30:H34)&gt;0,AVERAGE(H30:H34),0)</f>
        <v>3</v>
      </c>
    </row>
    <row r="30" spans="1:17" ht="12" customHeight="1" thickBot="1">
      <c r="A30" s="2616"/>
      <c r="B30" s="2727"/>
      <c r="C30" s="2729" t="s">
        <v>3106</v>
      </c>
      <c r="D30" s="2729"/>
      <c r="E30" s="2706"/>
      <c r="F30" s="2729"/>
      <c r="G30" s="168" t="s">
        <v>3107</v>
      </c>
      <c r="H30" s="3404">
        <f>IF(スコア!Q106=0,"対象外",スコア!Q106)</f>
        <v>3</v>
      </c>
      <c r="I30" s="2729" t="s">
        <v>3108</v>
      </c>
      <c r="J30" s="2647"/>
      <c r="K30" s="2647"/>
      <c r="L30" s="2729"/>
      <c r="M30" s="168" t="s">
        <v>3109</v>
      </c>
      <c r="N30" s="3405">
        <f>IF(スコア!Q83=0,"対象外",スコア!Q83)</f>
        <v>3</v>
      </c>
      <c r="O30" s="2620"/>
      <c r="P30" s="2621"/>
      <c r="Q30" s="1265">
        <f>IF(H30="対象外",5,0)</f>
        <v>0</v>
      </c>
    </row>
    <row r="31" spans="1:17" ht="12" customHeight="1" thickBot="1">
      <c r="A31" s="2616"/>
      <c r="B31" s="2727"/>
      <c r="C31" s="2729" t="s">
        <v>3110</v>
      </c>
      <c r="D31" s="2729"/>
      <c r="E31" s="2706"/>
      <c r="F31" s="2729"/>
      <c r="G31" s="168" t="s">
        <v>3109</v>
      </c>
      <c r="H31" s="3406">
        <f>IF(スコア!Q107=0,"対象外",スコア!Q107)</f>
        <v>3</v>
      </c>
      <c r="I31" s="3560" t="s">
        <v>3111</v>
      </c>
      <c r="J31" s="3561"/>
      <c r="K31" s="3561"/>
      <c r="L31" s="3561"/>
      <c r="M31" s="3561"/>
      <c r="N31" s="3562"/>
      <c r="O31" s="2620"/>
      <c r="P31" s="2621"/>
    </row>
    <row r="32" spans="1:17" ht="12" customHeight="1" thickBot="1">
      <c r="A32" s="2616"/>
      <c r="B32" s="2727"/>
      <c r="C32" s="2729" t="s">
        <v>3112</v>
      </c>
      <c r="D32" s="2729"/>
      <c r="E32" s="2706"/>
      <c r="F32" s="2729"/>
      <c r="G32" s="168" t="s">
        <v>3109</v>
      </c>
      <c r="H32" s="3406">
        <f>IF(スコア!Q108=0,"対象外",スコア!Q108)</f>
        <v>3</v>
      </c>
      <c r="I32" s="3563"/>
      <c r="J32" s="3564"/>
      <c r="K32" s="3564"/>
      <c r="L32" s="3564"/>
      <c r="M32" s="3564"/>
      <c r="N32" s="3565"/>
      <c r="O32" s="2620"/>
      <c r="P32" s="2621"/>
      <c r="Q32" s="1265">
        <f>IF(N30="対象外",5,0)</f>
        <v>0</v>
      </c>
    </row>
    <row r="33" spans="1:20" ht="12" customHeight="1" thickBot="1">
      <c r="A33" s="2616"/>
      <c r="B33" s="2727"/>
      <c r="C33" s="2729" t="s">
        <v>3113</v>
      </c>
      <c r="D33" s="2729"/>
      <c r="E33" s="2706"/>
      <c r="F33" s="2729"/>
      <c r="G33" s="168" t="s">
        <v>3109</v>
      </c>
      <c r="H33" s="3404">
        <f>IF(スコア!Q109=0,"対象外",スコア!Q109)</f>
        <v>3</v>
      </c>
      <c r="I33" s="2728" t="s">
        <v>3114</v>
      </c>
      <c r="J33" s="2647"/>
      <c r="K33" s="2647"/>
      <c r="L33" s="2729"/>
      <c r="M33" s="168"/>
      <c r="N33" s="2734"/>
      <c r="O33" s="2620"/>
      <c r="P33" s="2621"/>
      <c r="Q33" s="2622"/>
    </row>
    <row r="34" spans="1:20" ht="12" customHeight="1" thickBot="1">
      <c r="A34" s="2616"/>
      <c r="B34" s="2727"/>
      <c r="C34" s="2735" t="s">
        <v>3115</v>
      </c>
      <c r="D34" s="2729"/>
      <c r="E34" s="2706"/>
      <c r="F34" s="2729"/>
      <c r="G34" s="168" t="s">
        <v>3109</v>
      </c>
      <c r="H34" s="3404">
        <f>IF(スコア!Q110=0,"対象外",スコア!Q110)</f>
        <v>3</v>
      </c>
      <c r="I34" s="2729" t="s">
        <v>3116</v>
      </c>
      <c r="J34" s="2647"/>
      <c r="K34" s="2647"/>
      <c r="L34" s="2729"/>
      <c r="M34" s="168" t="s">
        <v>3109</v>
      </c>
      <c r="N34" s="3404">
        <f>IF(スコア!Q67=0,"対象外",スコア!Q67)</f>
        <v>3</v>
      </c>
      <c r="O34" s="2620"/>
      <c r="P34" s="2621"/>
      <c r="Q34" s="1265">
        <f>IF(N34="対象外",5,0)</f>
        <v>0</v>
      </c>
    </row>
    <row r="35" spans="1:20" ht="12" customHeight="1" thickBot="1">
      <c r="A35" s="2616"/>
      <c r="B35" s="2727"/>
      <c r="C35" s="2735"/>
      <c r="D35" s="2729" t="s">
        <v>3117</v>
      </c>
      <c r="E35" s="2706"/>
      <c r="F35" s="2729"/>
      <c r="G35" s="168"/>
      <c r="H35" s="3407"/>
      <c r="I35" s="2729" t="s">
        <v>3118</v>
      </c>
      <c r="J35" s="2647"/>
      <c r="K35" s="2647"/>
      <c r="L35" s="2729"/>
      <c r="M35" s="168" t="s">
        <v>3109</v>
      </c>
      <c r="N35" s="3405">
        <f>IF(重み!$D$7=重み!$E$7,IF(スコア!Q103&gt;=スコア!T103,IF(スコア!Q103=0,"対象外",スコア!Q103),IF(スコア!T103=0,"対象外",スコア!T103)),IF(重み!$D$7&gt;重み!$E$7,IF(スコア!Q103=0,"対象外",スコア!Q103),IF(スコア!T103=0,"対象外",スコア!T103)))</f>
        <v>3</v>
      </c>
      <c r="O35" s="2620"/>
      <c r="P35" s="2621"/>
      <c r="Q35" s="1265">
        <f>IF(N35="対象外",5,0)</f>
        <v>0</v>
      </c>
    </row>
    <row r="36" spans="1:20" ht="12" customHeight="1">
      <c r="A36" s="2616"/>
      <c r="B36" s="3408"/>
      <c r="C36" s="3566" t="s">
        <v>3119</v>
      </c>
      <c r="D36" s="3566"/>
      <c r="E36" s="3566"/>
      <c r="F36" s="3566"/>
      <c r="G36" s="3566"/>
      <c r="H36" s="3566"/>
      <c r="I36" s="3566" t="s">
        <v>3111</v>
      </c>
      <c r="J36" s="3566"/>
      <c r="K36" s="3566"/>
      <c r="L36" s="3566"/>
      <c r="M36" s="3566"/>
      <c r="N36" s="3566"/>
      <c r="O36" s="2620"/>
      <c r="P36" s="2621"/>
      <c r="Q36" s="2622"/>
    </row>
    <row r="37" spans="1:20" ht="12" customHeight="1" thickBot="1">
      <c r="A37" s="2616"/>
      <c r="B37" s="3408"/>
      <c r="C37" s="3567"/>
      <c r="D37" s="3567"/>
      <c r="E37" s="3567"/>
      <c r="F37" s="3567"/>
      <c r="G37" s="3567"/>
      <c r="H37" s="3567"/>
      <c r="I37" s="3567"/>
      <c r="J37" s="3567"/>
      <c r="K37" s="3567"/>
      <c r="L37" s="3567"/>
      <c r="M37" s="3567"/>
      <c r="N37" s="3567"/>
      <c r="O37" s="2620"/>
      <c r="P37" s="2621"/>
      <c r="Q37" s="2622"/>
    </row>
    <row r="38" spans="1:20" ht="15" customHeight="1" thickBot="1">
      <c r="A38" s="2616"/>
      <c r="B38" s="2720"/>
      <c r="C38" s="2736" t="s">
        <v>3120</v>
      </c>
      <c r="D38" s="2737"/>
      <c r="E38" s="2738"/>
      <c r="F38" s="2738"/>
      <c r="G38" s="2738"/>
      <c r="H38" s="2738"/>
      <c r="I38" s="2738"/>
      <c r="J38" s="2738"/>
      <c r="K38" s="2738"/>
      <c r="L38" s="2739" t="s">
        <v>3102</v>
      </c>
      <c r="M38" s="3387">
        <f>SUM(N39:N42)</f>
        <v>12</v>
      </c>
      <c r="N38" s="2740">
        <f>20-SUM(Q39:Q42)</f>
        <v>20</v>
      </c>
      <c r="O38" s="2620"/>
      <c r="P38" s="2621"/>
      <c r="Q38" s="2622"/>
    </row>
    <row r="39" spans="1:20" ht="12" customHeight="1" thickBot="1">
      <c r="A39" s="2616"/>
      <c r="B39" s="2727"/>
      <c r="C39" s="2729" t="s">
        <v>3121</v>
      </c>
      <c r="D39" s="2729"/>
      <c r="E39" s="2706"/>
      <c r="F39" s="2729"/>
      <c r="G39" s="2614"/>
      <c r="H39" s="2614"/>
      <c r="I39" s="2729"/>
      <c r="J39" s="2647"/>
      <c r="K39" s="2647"/>
      <c r="L39" s="2729"/>
      <c r="M39" s="2741" t="s">
        <v>3122</v>
      </c>
      <c r="N39" s="3404">
        <f>IF(スコア!Q152=0,"対象外",スコア!Q152)</f>
        <v>3</v>
      </c>
      <c r="O39" s="2620"/>
      <c r="P39" s="2621"/>
      <c r="Q39" s="1265">
        <f>IF(N39="対象外",5,0)</f>
        <v>0</v>
      </c>
    </row>
    <row r="40" spans="1:20" ht="12" customHeight="1" thickBot="1">
      <c r="A40" s="2616"/>
      <c r="B40" s="2727"/>
      <c r="C40" s="2729" t="s">
        <v>3123</v>
      </c>
      <c r="D40" s="2729"/>
      <c r="E40" s="2706"/>
      <c r="F40" s="2729"/>
      <c r="G40" s="2614"/>
      <c r="H40" s="2614"/>
      <c r="I40" s="2729"/>
      <c r="J40" s="2647"/>
      <c r="K40" s="2647"/>
      <c r="L40" s="2729"/>
      <c r="M40" s="2741" t="s">
        <v>3122</v>
      </c>
      <c r="N40" s="3404">
        <f>IF(スコア!Q154=0,"対象外",スコア!Q154)</f>
        <v>3</v>
      </c>
      <c r="O40" s="2620"/>
      <c r="P40" s="2621"/>
      <c r="Q40" s="1265">
        <f>IF(N40="対象外",5,0)</f>
        <v>0</v>
      </c>
    </row>
    <row r="41" spans="1:20" ht="12" customHeight="1" thickBot="1">
      <c r="A41" s="2616"/>
      <c r="B41" s="2727"/>
      <c r="C41" s="2729" t="s">
        <v>3179</v>
      </c>
      <c r="D41" s="2729"/>
      <c r="E41" s="2706"/>
      <c r="F41" s="2729"/>
      <c r="G41" s="2614"/>
      <c r="H41" s="2614"/>
      <c r="I41" s="2729"/>
      <c r="J41" s="2647"/>
      <c r="K41" s="2647"/>
      <c r="L41" s="2729"/>
      <c r="M41" s="2741" t="s">
        <v>3122</v>
      </c>
      <c r="N41" s="3404">
        <f>IF(スコア!Q155=0,"対象外",スコア!Q155)</f>
        <v>3</v>
      </c>
      <c r="O41" s="2620"/>
      <c r="P41" s="2621"/>
      <c r="Q41" s="1265">
        <f>IF(N41="対象外",5,0)</f>
        <v>0</v>
      </c>
      <c r="R41" s="546"/>
      <c r="S41" s="2742"/>
      <c r="T41" s="2742"/>
    </row>
    <row r="42" spans="1:20" ht="12" customHeight="1" thickBot="1">
      <c r="A42" s="2616"/>
      <c r="B42" s="2727"/>
      <c r="C42" s="2735" t="s">
        <v>3124</v>
      </c>
      <c r="D42" s="2729"/>
      <c r="E42" s="2706"/>
      <c r="F42" s="2729"/>
      <c r="G42" s="2743"/>
      <c r="H42" s="2743"/>
      <c r="I42" s="2729"/>
      <c r="J42" s="2647"/>
      <c r="K42" s="2647"/>
      <c r="L42" s="2729"/>
      <c r="M42" s="2744" t="s">
        <v>3109</v>
      </c>
      <c r="N42" s="3405">
        <f>IF(スコア!Q157=0,"対象外",スコア!Q157)</f>
        <v>3</v>
      </c>
      <c r="O42" s="2620"/>
      <c r="P42" s="2621"/>
      <c r="Q42" s="1265">
        <f>IF(N42="対象外",5,0)</f>
        <v>0</v>
      </c>
      <c r="R42" s="546"/>
      <c r="S42" s="2742"/>
      <c r="T42" s="2742"/>
    </row>
    <row r="43" spans="1:20" ht="12" customHeight="1">
      <c r="A43" s="2616"/>
      <c r="B43" s="3408" t="s">
        <v>2738</v>
      </c>
      <c r="C43" s="3560" t="s">
        <v>3125</v>
      </c>
      <c r="D43" s="3561"/>
      <c r="E43" s="3561"/>
      <c r="F43" s="3561"/>
      <c r="G43" s="3561"/>
      <c r="H43" s="3561"/>
      <c r="I43" s="3561"/>
      <c r="J43" s="3561"/>
      <c r="K43" s="3561"/>
      <c r="L43" s="3561"/>
      <c r="M43" s="3561"/>
      <c r="N43" s="3562"/>
      <c r="O43" s="2620"/>
      <c r="P43" s="2621"/>
      <c r="Q43" s="2622"/>
      <c r="R43" s="546"/>
      <c r="S43" s="2742"/>
      <c r="T43" s="2742"/>
    </row>
    <row r="44" spans="1:20" ht="12" customHeight="1" thickBot="1">
      <c r="A44" s="2616"/>
      <c r="B44" s="3408"/>
      <c r="C44" s="3563"/>
      <c r="D44" s="3564"/>
      <c r="E44" s="3564"/>
      <c r="F44" s="3564"/>
      <c r="G44" s="3564"/>
      <c r="H44" s="3564"/>
      <c r="I44" s="3564"/>
      <c r="J44" s="3564"/>
      <c r="K44" s="3564"/>
      <c r="L44" s="3564"/>
      <c r="M44" s="3564"/>
      <c r="N44" s="3565"/>
      <c r="O44" s="2620"/>
      <c r="P44" s="2621"/>
      <c r="Q44" s="2622"/>
    </row>
    <row r="45" spans="1:20" ht="15" customHeight="1" thickBot="1">
      <c r="A45" s="2616"/>
      <c r="B45" s="3409"/>
      <c r="C45" s="2745" t="s">
        <v>3126</v>
      </c>
      <c r="D45" s="2745"/>
      <c r="E45" s="2746"/>
      <c r="F45" s="2746"/>
      <c r="G45" s="2746"/>
      <c r="H45" s="2746"/>
      <c r="I45" s="2746"/>
      <c r="J45" s="2746"/>
      <c r="K45" s="2746"/>
      <c r="L45" s="2739" t="s">
        <v>3102</v>
      </c>
      <c r="M45" s="3388">
        <f>COUNTIF(N46:N48,"○")</f>
        <v>0</v>
      </c>
      <c r="N45" s="2747">
        <f>3-SUM(Q46:Q48)</f>
        <v>1</v>
      </c>
      <c r="O45" s="2748"/>
      <c r="P45" s="2749"/>
      <c r="Q45" s="2750"/>
    </row>
    <row r="46" spans="1:20" ht="12" customHeight="1" thickBot="1">
      <c r="A46" s="2616"/>
      <c r="B46" s="3409"/>
      <c r="C46" s="3572" t="s">
        <v>3127</v>
      </c>
      <c r="D46" s="3572"/>
      <c r="E46" s="3572"/>
      <c r="F46" s="3573" t="s">
        <v>3299</v>
      </c>
      <c r="G46" s="3574"/>
      <c r="H46" s="3574"/>
      <c r="I46" s="3574"/>
      <c r="J46" s="3574"/>
      <c r="K46" s="3574"/>
      <c r="L46" s="3574"/>
      <c r="M46" s="3575"/>
      <c r="N46" s="3410" t="str">
        <f>IF(採点LR2!G37="○",IF(採点LR2!G50="○","○",""),"対象外")</f>
        <v>対象外</v>
      </c>
      <c r="O46" s="2620"/>
      <c r="P46" s="2621"/>
      <c r="Q46" s="1265">
        <f>IF(N46="対象外",1,0)</f>
        <v>1</v>
      </c>
    </row>
    <row r="47" spans="1:20" ht="12" customHeight="1" thickBot="1">
      <c r="A47" s="2616"/>
      <c r="B47" s="3409"/>
      <c r="C47" s="3572" t="s">
        <v>3128</v>
      </c>
      <c r="D47" s="3572"/>
      <c r="E47" s="3572"/>
      <c r="F47" s="3576" t="s">
        <v>3301</v>
      </c>
      <c r="G47" s="3577"/>
      <c r="H47" s="3577"/>
      <c r="I47" s="3577"/>
      <c r="J47" s="3577"/>
      <c r="K47" s="3577"/>
      <c r="L47" s="3577"/>
      <c r="M47" s="3577"/>
      <c r="N47" s="3410" t="str">
        <f>IF(採点LR2!G37="○",IF(採点LR2!G90="○","○",""),"対象外")</f>
        <v>対象外</v>
      </c>
      <c r="O47" s="2620"/>
      <c r="P47" s="2621"/>
      <c r="Q47" s="1265">
        <f>IF(N47="対象外",1,0)</f>
        <v>1</v>
      </c>
    </row>
    <row r="48" spans="1:20" ht="12" customHeight="1" thickBot="1">
      <c r="A48" s="2616"/>
      <c r="B48" s="3409"/>
      <c r="C48" s="3572" t="s">
        <v>3180</v>
      </c>
      <c r="D48" s="3572"/>
      <c r="E48" s="3572"/>
      <c r="F48" s="3576" t="s">
        <v>3273</v>
      </c>
      <c r="G48" s="3577"/>
      <c r="H48" s="3577"/>
      <c r="I48" s="3577"/>
      <c r="J48" s="3577"/>
      <c r="K48" s="3577"/>
      <c r="L48" s="3577"/>
      <c r="M48" s="3394"/>
      <c r="N48" s="3410" t="str">
        <f>採点LR2!G155</f>
        <v>　</v>
      </c>
      <c r="O48" s="2620"/>
      <c r="P48" s="2621"/>
      <c r="Q48" s="1265">
        <f>IF(N48="対象外",1,0)</f>
        <v>0</v>
      </c>
    </row>
    <row r="49" spans="1:17" ht="12" customHeight="1">
      <c r="A49" s="2616"/>
      <c r="B49" s="3411"/>
      <c r="C49" s="3578"/>
      <c r="D49" s="3577"/>
      <c r="E49" s="3395"/>
      <c r="F49" s="3395"/>
      <c r="G49" s="2752"/>
      <c r="H49" s="3395"/>
      <c r="I49" s="3395"/>
      <c r="J49" s="3395"/>
      <c r="K49" s="3395"/>
      <c r="L49" s="3395"/>
      <c r="M49" s="3395"/>
      <c r="N49" s="2753"/>
      <c r="O49" s="2620"/>
      <c r="P49" s="2621"/>
      <c r="Q49" s="2750"/>
    </row>
    <row r="50" spans="1:17" ht="15" customHeight="1">
      <c r="A50" s="2616"/>
      <c r="B50" s="2754">
        <v>2</v>
      </c>
      <c r="C50" s="2755" t="s">
        <v>3129</v>
      </c>
      <c r="D50" s="2755"/>
      <c r="E50" s="2756"/>
      <c r="F50" s="2756"/>
      <c r="G50" s="2756"/>
      <c r="H50" s="2756"/>
      <c r="I50" s="2756"/>
      <c r="J50" s="2756"/>
      <c r="K50" s="2756"/>
      <c r="L50" s="2757" t="s">
        <v>3100</v>
      </c>
      <c r="M50" s="3389">
        <f>SUM(G51,M51,M58,M64)</f>
        <v>24</v>
      </c>
      <c r="N50" s="2758">
        <f>SUM(H51,N51,N58,N64)</f>
        <v>42</v>
      </c>
      <c r="O50" s="2620"/>
      <c r="P50" s="2621"/>
      <c r="Q50" s="2622"/>
    </row>
    <row r="51" spans="1:17" ht="15" customHeight="1">
      <c r="A51" s="2616"/>
      <c r="B51" s="2759"/>
      <c r="C51" s="2760" t="s">
        <v>3130</v>
      </c>
      <c r="D51" s="2760"/>
      <c r="E51" s="2761"/>
      <c r="F51" s="2724" t="s">
        <v>3131</v>
      </c>
      <c r="G51" s="3390">
        <f>SUM(H53:H55)</f>
        <v>9</v>
      </c>
      <c r="H51" s="2762">
        <f>15-SUM(Q51:Q53)</f>
        <v>15</v>
      </c>
      <c r="I51" s="2722" t="s">
        <v>3132</v>
      </c>
      <c r="J51" s="2723"/>
      <c r="K51" s="2723"/>
      <c r="L51" s="2724" t="s">
        <v>3131</v>
      </c>
      <c r="M51" s="3390">
        <f>SUM(N53:N55)</f>
        <v>9</v>
      </c>
      <c r="N51" s="2763">
        <f>15-SUM(Q54:Q56)</f>
        <v>15</v>
      </c>
      <c r="O51" s="2620"/>
      <c r="P51" s="2621"/>
      <c r="Q51" s="1265">
        <f>IF(H53="対象外",5,0)</f>
        <v>0</v>
      </c>
    </row>
    <row r="52" spans="1:17" ht="12" customHeight="1" thickBot="1">
      <c r="A52" s="2616"/>
      <c r="B52" s="2764"/>
      <c r="C52" s="2765" t="s">
        <v>3133</v>
      </c>
      <c r="D52" s="2765"/>
      <c r="E52" s="2766"/>
      <c r="F52" s="2766"/>
      <c r="G52" s="2766"/>
      <c r="H52" s="2730"/>
      <c r="I52" s="2728" t="s">
        <v>3134</v>
      </c>
      <c r="J52" s="2729"/>
      <c r="K52" s="2729"/>
      <c r="L52" s="2729"/>
      <c r="M52" s="2729"/>
      <c r="N52" s="2732"/>
      <c r="O52" s="2620"/>
      <c r="P52" s="2621"/>
      <c r="Q52" s="1265">
        <f>IF(H54="対象外",5,0)</f>
        <v>0</v>
      </c>
    </row>
    <row r="53" spans="1:17" ht="12" customHeight="1" thickBot="1">
      <c r="A53" s="2616"/>
      <c r="B53" s="2764"/>
      <c r="C53" s="2729" t="s">
        <v>3135</v>
      </c>
      <c r="D53" s="2729"/>
      <c r="E53" s="2706"/>
      <c r="F53" s="2729"/>
      <c r="G53" s="2741" t="s">
        <v>3122</v>
      </c>
      <c r="H53" s="3404">
        <f>IF(重み!$D$7=重み!$E$7,IF(スコア!Q69&gt;=スコア!T69,IF(スコア!Q69=0,"対象外",スコア!Q69),IF(スコア!T69=0,"対象外",スコア!T69)),IF(重み!$D$7&gt;重み!$E$7,IF(スコア!Q69=0,"対象外",スコア!Q69),IF(スコア!T69=0,"対象外",スコア!T69)))</f>
        <v>3</v>
      </c>
      <c r="I53" s="2729" t="s">
        <v>3136</v>
      </c>
      <c r="J53" s="2729"/>
      <c r="K53" s="2729"/>
      <c r="L53" s="2729"/>
      <c r="M53" s="168" t="s">
        <v>3109</v>
      </c>
      <c r="N53" s="3404">
        <f>IF(スコア!Q118=0,"対象外",スコア!Q118)</f>
        <v>3</v>
      </c>
      <c r="O53" s="2620"/>
      <c r="P53" s="2621"/>
      <c r="Q53" s="1265">
        <f>IF(H55="対象外",5,0)</f>
        <v>0</v>
      </c>
    </row>
    <row r="54" spans="1:17" ht="12" customHeight="1" thickBot="1">
      <c r="A54" s="2616"/>
      <c r="B54" s="2764"/>
      <c r="C54" s="2729" t="s">
        <v>3137</v>
      </c>
      <c r="D54" s="2729"/>
      <c r="E54" s="2706"/>
      <c r="F54" s="2729"/>
      <c r="G54" s="2741" t="s">
        <v>3122</v>
      </c>
      <c r="H54" s="3404">
        <f>IF(スコア!Q113=0,"対象外",スコア!Q113)</f>
        <v>3</v>
      </c>
      <c r="I54" s="2729" t="s">
        <v>3138</v>
      </c>
      <c r="J54" s="2729"/>
      <c r="K54" s="2729"/>
      <c r="L54" s="2729"/>
      <c r="M54" s="168" t="s">
        <v>3109</v>
      </c>
      <c r="N54" s="3404">
        <f>IF(スコア!Q176=0,"対象外",スコア!Q176)</f>
        <v>3</v>
      </c>
      <c r="O54" s="2620"/>
      <c r="P54" s="2621"/>
      <c r="Q54" s="1265">
        <f>IF(N53="対象外",5,0)</f>
        <v>0</v>
      </c>
    </row>
    <row r="55" spans="1:17" ht="12" customHeight="1" thickBot="1">
      <c r="A55" s="2616"/>
      <c r="B55" s="2764"/>
      <c r="C55" s="2735" t="s">
        <v>3139</v>
      </c>
      <c r="D55" s="2729"/>
      <c r="E55" s="2706"/>
      <c r="F55" s="2729"/>
      <c r="G55" s="2767" t="s">
        <v>3122</v>
      </c>
      <c r="H55" s="3405">
        <f>IF(スコア!Q119=0,"対象外",スコア!Q119)</f>
        <v>3</v>
      </c>
      <c r="I55" s="3579" t="s">
        <v>3140</v>
      </c>
      <c r="J55" s="3579"/>
      <c r="K55" s="3579"/>
      <c r="L55" s="3579"/>
      <c r="M55" s="168" t="s">
        <v>3109</v>
      </c>
      <c r="N55" s="3405">
        <f>IF(スコア!Q194=0,"対象外",スコア!Q194)</f>
        <v>3</v>
      </c>
      <c r="O55" s="2620"/>
      <c r="P55" s="2621"/>
      <c r="Q55" s="1265">
        <f>IF(N54="対象外",5,0)</f>
        <v>0</v>
      </c>
    </row>
    <row r="56" spans="1:17" ht="12" customHeight="1">
      <c r="A56" s="2616"/>
      <c r="B56" s="2768"/>
      <c r="C56" s="3566" t="s">
        <v>3125</v>
      </c>
      <c r="D56" s="3566"/>
      <c r="E56" s="3566"/>
      <c r="F56" s="3566"/>
      <c r="G56" s="3566"/>
      <c r="H56" s="3566"/>
      <c r="I56" s="3566" t="s">
        <v>3125</v>
      </c>
      <c r="J56" s="3566"/>
      <c r="K56" s="3566"/>
      <c r="L56" s="3566"/>
      <c r="M56" s="3566"/>
      <c r="N56" s="3566"/>
      <c r="O56" s="2620"/>
      <c r="P56" s="2621"/>
      <c r="Q56" s="1265">
        <f>IF(N55="対象外",5,0)</f>
        <v>0</v>
      </c>
    </row>
    <row r="57" spans="1:17" ht="12" customHeight="1" thickBot="1">
      <c r="A57" s="2616"/>
      <c r="B57" s="2768"/>
      <c r="C57" s="3567"/>
      <c r="D57" s="3567"/>
      <c r="E57" s="3567"/>
      <c r="F57" s="3567"/>
      <c r="G57" s="3567"/>
      <c r="H57" s="3567"/>
      <c r="I57" s="3567"/>
      <c r="J57" s="3567"/>
      <c r="K57" s="3567"/>
      <c r="L57" s="3567"/>
      <c r="M57" s="3567"/>
      <c r="N57" s="3567"/>
      <c r="O57" s="2620"/>
      <c r="P57" s="2621"/>
    </row>
    <row r="58" spans="1:17" ht="15" customHeight="1">
      <c r="A58" s="2616"/>
      <c r="B58" s="2759"/>
      <c r="C58" s="2760" t="s">
        <v>3141</v>
      </c>
      <c r="D58" s="2760"/>
      <c r="E58" s="2761"/>
      <c r="F58" s="2761"/>
      <c r="G58" s="2761"/>
      <c r="H58" s="2761"/>
      <c r="I58" s="2761"/>
      <c r="J58" s="2761"/>
      <c r="K58" s="2761"/>
      <c r="L58" s="2739" t="s">
        <v>3131</v>
      </c>
      <c r="M58" s="3391">
        <f>SUM(N60:N61)</f>
        <v>6</v>
      </c>
      <c r="N58" s="2769">
        <f>10-SUM(Q60:Q61)</f>
        <v>10</v>
      </c>
      <c r="O58" s="2620"/>
      <c r="P58" s="2621"/>
      <c r="Q58" s="2622"/>
    </row>
    <row r="59" spans="1:17" ht="12" customHeight="1" thickBot="1">
      <c r="A59" s="2616"/>
      <c r="B59" s="2764"/>
      <c r="C59" s="2765" t="s">
        <v>3142</v>
      </c>
      <c r="D59" s="2765"/>
      <c r="E59" s="2766"/>
      <c r="F59" s="2766"/>
      <c r="G59" s="2766"/>
      <c r="H59" s="2766"/>
      <c r="I59" s="2765"/>
      <c r="J59" s="2766"/>
      <c r="K59" s="2766"/>
      <c r="L59" s="2766"/>
      <c r="M59" s="2766"/>
      <c r="N59" s="2732"/>
      <c r="O59" s="2748"/>
      <c r="P59" s="2749"/>
      <c r="Q59" s="2750"/>
    </row>
    <row r="60" spans="1:17" ht="12" customHeight="1" thickBot="1">
      <c r="A60" s="2616"/>
      <c r="B60" s="2764"/>
      <c r="C60" s="2729" t="s">
        <v>3143</v>
      </c>
      <c r="D60" s="2729"/>
      <c r="E60" s="2706"/>
      <c r="F60" s="2729"/>
      <c r="G60" s="2614"/>
      <c r="H60" s="2614"/>
      <c r="I60" s="2729"/>
      <c r="J60" s="2647"/>
      <c r="K60" s="2647"/>
      <c r="L60" s="2729"/>
      <c r="M60" s="2741" t="s">
        <v>3122</v>
      </c>
      <c r="N60" s="3404">
        <f>IF(重み!$D$7=重み!$E$7,IF(スコア!Q72&gt;=スコア!T72,IF(スコア!Q72=0,"対象外",スコア!Q72),IF(スコア!T72=0,"対象外",スコア!T72)),IF(重み!$D$7&gt;重み!$E$7,IF(スコア!Q72=0,"対象外",スコア!Q72),IF(スコア!T72=0,"対象外",スコア!T72)))</f>
        <v>3</v>
      </c>
      <c r="O60" s="2620"/>
      <c r="P60" s="2621"/>
      <c r="Q60" s="1265">
        <f>IF(N60="対象外",5,0)</f>
        <v>0</v>
      </c>
    </row>
    <row r="61" spans="1:17" ht="12" customHeight="1" thickBot="1">
      <c r="A61" s="2616"/>
      <c r="B61" s="2764"/>
      <c r="C61" s="2729" t="s">
        <v>3136</v>
      </c>
      <c r="D61" s="2729"/>
      <c r="E61" s="2706"/>
      <c r="F61" s="2729"/>
      <c r="G61" s="2614"/>
      <c r="H61" s="2614"/>
      <c r="I61" s="2729"/>
      <c r="J61" s="2647"/>
      <c r="K61" s="2647"/>
      <c r="L61" s="2729"/>
      <c r="M61" s="2741" t="s">
        <v>3122</v>
      </c>
      <c r="N61" s="3405">
        <f>IF(スコア!Q118=0,"対象外",スコア!Q118)</f>
        <v>3</v>
      </c>
      <c r="O61" s="2620"/>
      <c r="P61" s="2621"/>
      <c r="Q61" s="1265">
        <f>IF(N61="対象外",5,0)</f>
        <v>0</v>
      </c>
    </row>
    <row r="62" spans="1:17" ht="12" customHeight="1">
      <c r="A62" s="2616"/>
      <c r="B62" s="2768"/>
      <c r="C62" s="3560" t="s">
        <v>3125</v>
      </c>
      <c r="D62" s="3561"/>
      <c r="E62" s="3561"/>
      <c r="F62" s="3561"/>
      <c r="G62" s="3561"/>
      <c r="H62" s="3561"/>
      <c r="I62" s="3561"/>
      <c r="J62" s="3561"/>
      <c r="K62" s="3561"/>
      <c r="L62" s="3561"/>
      <c r="M62" s="3561"/>
      <c r="N62" s="3562"/>
      <c r="O62" s="2620"/>
      <c r="P62" s="2621"/>
    </row>
    <row r="63" spans="1:17" ht="12" customHeight="1" thickBot="1">
      <c r="A63" s="2616"/>
      <c r="B63" s="2768"/>
      <c r="C63" s="3563"/>
      <c r="D63" s="3564"/>
      <c r="E63" s="3564"/>
      <c r="F63" s="3564"/>
      <c r="G63" s="3564"/>
      <c r="H63" s="3564"/>
      <c r="I63" s="3564"/>
      <c r="J63" s="3564"/>
      <c r="K63" s="3564"/>
      <c r="L63" s="3564"/>
      <c r="M63" s="3564"/>
      <c r="N63" s="3565"/>
      <c r="O63" s="2620"/>
      <c r="P63" s="2621"/>
      <c r="Q63" s="2622"/>
    </row>
    <row r="64" spans="1:17" ht="15" customHeight="1" thickBot="1">
      <c r="A64" s="2616"/>
      <c r="B64" s="2770"/>
      <c r="C64" s="2745" t="s">
        <v>3144</v>
      </c>
      <c r="D64" s="2745"/>
      <c r="E64" s="2746"/>
      <c r="F64" s="2746"/>
      <c r="G64" s="2746"/>
      <c r="H64" s="2746"/>
      <c r="I64" s="2746"/>
      <c r="J64" s="2746"/>
      <c r="K64" s="2746"/>
      <c r="L64" s="2739" t="s">
        <v>3102</v>
      </c>
      <c r="M64" s="3388">
        <f>COUNTIF(N65:N66,"○")</f>
        <v>0</v>
      </c>
      <c r="N64" s="2747">
        <f>2-SUM(Q65:Q67)</f>
        <v>2</v>
      </c>
      <c r="O64" s="2620"/>
      <c r="P64" s="2621"/>
      <c r="Q64" s="2622"/>
    </row>
    <row r="65" spans="1:20" ht="13.5" thickBot="1">
      <c r="A65" s="2616"/>
      <c r="B65" s="2770"/>
      <c r="C65" s="3568" t="s">
        <v>3145</v>
      </c>
      <c r="D65" s="3569"/>
      <c r="E65" s="3569"/>
      <c r="F65" s="3569"/>
      <c r="G65" s="3570" t="s">
        <v>3274</v>
      </c>
      <c r="H65" s="3570"/>
      <c r="I65" s="3570"/>
      <c r="J65" s="3570"/>
      <c r="K65" s="3570"/>
      <c r="L65" s="3570"/>
      <c r="M65" s="3571"/>
      <c r="N65" s="3410" t="str">
        <f>IF(重み!$D$7=重み!$E$7,IF(OR(採点Q2!K48+採点Q2!F38&gt;5,採点Q2!N48+採点Q2!M38&gt;5),"○",""),IF(重み!$D$7&gt;重み!$E$7,IF(採点Q2!K48+採点Q2!F38&gt;5,"○",""),IF(採点Q2!N48+採点Q2!M38&gt;5,"○","")))</f>
        <v/>
      </c>
      <c r="O65" s="2620"/>
      <c r="P65" s="2621"/>
      <c r="Q65" s="1265">
        <f>IF(N65="対象外",1,0)</f>
        <v>0</v>
      </c>
    </row>
    <row r="66" spans="1:20" ht="26.25" customHeight="1" thickBot="1">
      <c r="A66" s="2616"/>
      <c r="B66" s="2771"/>
      <c r="C66" s="3580" t="s">
        <v>3146</v>
      </c>
      <c r="D66" s="3580"/>
      <c r="E66" s="3580"/>
      <c r="F66" s="3580"/>
      <c r="G66" s="3581" t="s">
        <v>3275</v>
      </c>
      <c r="H66" s="3581"/>
      <c r="I66" s="3581"/>
      <c r="J66" s="3581"/>
      <c r="K66" s="3581"/>
      <c r="L66" s="3581"/>
      <c r="M66" s="3581"/>
      <c r="N66" s="3410" t="str">
        <f>採点LR3!F242</f>
        <v>　</v>
      </c>
      <c r="O66" s="2620"/>
      <c r="P66" s="2621"/>
      <c r="Q66" s="1265">
        <f>IF(N66="対象外",1,0)</f>
        <v>0</v>
      </c>
    </row>
    <row r="67" spans="1:20" ht="15" customHeight="1">
      <c r="A67" s="2616"/>
      <c r="B67" s="2772">
        <v>3</v>
      </c>
      <c r="C67" s="2773" t="s">
        <v>3147</v>
      </c>
      <c r="D67" s="2773"/>
      <c r="E67" s="2774"/>
      <c r="F67" s="2774"/>
      <c r="G67" s="2774"/>
      <c r="H67" s="2774"/>
      <c r="I67" s="2774"/>
      <c r="J67" s="2774"/>
      <c r="K67" s="2774"/>
      <c r="L67" s="2775" t="s">
        <v>3148</v>
      </c>
      <c r="M67" s="3392">
        <f>SUM(M74,M68,M81)</f>
        <v>25</v>
      </c>
      <c r="N67" s="2776">
        <f>SUM(N68,N74,N81)</f>
        <v>45</v>
      </c>
      <c r="O67" s="2620"/>
      <c r="P67" s="2621"/>
      <c r="Q67" s="2622"/>
    </row>
    <row r="68" spans="1:20" ht="15" customHeight="1" thickBot="1">
      <c r="A68" s="2616"/>
      <c r="B68" s="2772"/>
      <c r="C68" s="2721" t="s">
        <v>3149</v>
      </c>
      <c r="D68" s="2722"/>
      <c r="E68" s="2723"/>
      <c r="F68" s="2723"/>
      <c r="G68" s="2724"/>
      <c r="H68" s="2723"/>
      <c r="I68" s="2723"/>
      <c r="J68" s="2724"/>
      <c r="K68" s="2724"/>
      <c r="L68" s="2724" t="s">
        <v>3148</v>
      </c>
      <c r="M68" s="3390">
        <f>SUM(N69:N71)</f>
        <v>9</v>
      </c>
      <c r="N68" s="2740">
        <f>15-SUM(Q69:Q71)</f>
        <v>15</v>
      </c>
      <c r="O68" s="2620"/>
      <c r="P68" s="2621"/>
      <c r="Q68" s="2622"/>
    </row>
    <row r="69" spans="1:20" ht="12" customHeight="1" thickBot="1">
      <c r="A69" s="2616"/>
      <c r="B69" s="2777"/>
      <c r="C69" s="2729" t="s">
        <v>3143</v>
      </c>
      <c r="D69" s="2729"/>
      <c r="E69" s="2778"/>
      <c r="F69" s="2778"/>
      <c r="G69" s="2778"/>
      <c r="H69" s="2779"/>
      <c r="I69" s="2778"/>
      <c r="J69" s="2778"/>
      <c r="K69" s="2778"/>
      <c r="L69" s="2778"/>
      <c r="M69" s="2741" t="s">
        <v>3122</v>
      </c>
      <c r="N69" s="3404">
        <f>IF(重み!$D$7=重み!$E$7,IF(スコア!Q72&gt;=スコア!T72,IF(スコア!Q72=0,"対象外",スコア!Q72),IF(スコア!T72=0,"対象外",スコア!T72)),IF(重み!$D$7&gt;重み!$E$7,IF(スコア!Q72=0,"対象外",スコア!Q72),IF(スコア!T72=0,"対象外",スコア!T72)))</f>
        <v>3</v>
      </c>
      <c r="O69" s="2620"/>
      <c r="P69" s="2621"/>
      <c r="Q69" s="1265">
        <f>IF(N69="対象外",5,0)</f>
        <v>0</v>
      </c>
    </row>
    <row r="70" spans="1:20" ht="12" customHeight="1" thickBot="1">
      <c r="A70" s="2616"/>
      <c r="B70" s="2777"/>
      <c r="C70" s="2729" t="s">
        <v>3136</v>
      </c>
      <c r="D70" s="2729"/>
      <c r="E70" s="2779"/>
      <c r="F70" s="2779"/>
      <c r="G70" s="2779"/>
      <c r="H70" s="2779"/>
      <c r="I70" s="2779"/>
      <c r="J70" s="2779"/>
      <c r="K70" s="2779"/>
      <c r="L70" s="2779"/>
      <c r="M70" s="2741" t="s">
        <v>3122</v>
      </c>
      <c r="N70" s="3404">
        <f>IF(スコア!Q118=0,"対象外",スコア!Q118)</f>
        <v>3</v>
      </c>
      <c r="O70" s="2620"/>
      <c r="P70" s="2621"/>
      <c r="Q70" s="1265">
        <f>IF(N70="対象外",5,0)</f>
        <v>0</v>
      </c>
    </row>
    <row r="71" spans="1:20" ht="12" customHeight="1" thickBot="1">
      <c r="A71" s="2616"/>
      <c r="B71" s="2777"/>
      <c r="C71" s="2729" t="s">
        <v>3150</v>
      </c>
      <c r="D71" s="2729"/>
      <c r="E71" s="2779"/>
      <c r="F71" s="2779"/>
      <c r="G71" s="2779"/>
      <c r="H71" s="2779"/>
      <c r="I71" s="2779"/>
      <c r="J71" s="2779"/>
      <c r="K71" s="2779"/>
      <c r="L71" s="2779"/>
      <c r="M71" s="2741" t="s">
        <v>3122</v>
      </c>
      <c r="N71" s="3405">
        <f>IF(スコア!Q156=0,"対象外",スコア!Q156)</f>
        <v>3</v>
      </c>
      <c r="O71" s="2620"/>
      <c r="P71" s="2621"/>
      <c r="Q71" s="1265">
        <f>IF(N71="対象外",5,0)</f>
        <v>0</v>
      </c>
    </row>
    <row r="72" spans="1:20" ht="12" customHeight="1">
      <c r="A72" s="2616"/>
      <c r="B72" s="2772"/>
      <c r="C72" s="3560" t="s">
        <v>3125</v>
      </c>
      <c r="D72" s="3561"/>
      <c r="E72" s="3561"/>
      <c r="F72" s="3561"/>
      <c r="G72" s="3561"/>
      <c r="H72" s="3561"/>
      <c r="I72" s="3561"/>
      <c r="J72" s="3561"/>
      <c r="K72" s="3561"/>
      <c r="L72" s="3561"/>
      <c r="M72" s="3561"/>
      <c r="N72" s="3562"/>
      <c r="O72" s="2620"/>
      <c r="P72" s="2621"/>
      <c r="Q72" s="2622"/>
    </row>
    <row r="73" spans="1:20" ht="12" customHeight="1" thickBot="1">
      <c r="A73" s="2616"/>
      <c r="B73" s="2772"/>
      <c r="C73" s="3563"/>
      <c r="D73" s="3564"/>
      <c r="E73" s="3564"/>
      <c r="F73" s="3564"/>
      <c r="G73" s="3564"/>
      <c r="H73" s="3564"/>
      <c r="I73" s="3564"/>
      <c r="J73" s="3564"/>
      <c r="K73" s="3564"/>
      <c r="L73" s="3564"/>
      <c r="M73" s="3564"/>
      <c r="N73" s="3565"/>
      <c r="O73" s="2780"/>
      <c r="P73" s="2749"/>
      <c r="Q73" s="2750"/>
    </row>
    <row r="74" spans="1:20" ht="15" customHeight="1" thickBot="1">
      <c r="A74" s="2616"/>
      <c r="B74" s="2781"/>
      <c r="C74" s="2782" t="s">
        <v>3183</v>
      </c>
      <c r="D74" s="2783"/>
      <c r="E74" s="2738"/>
      <c r="F74" s="2738"/>
      <c r="G74" s="2739"/>
      <c r="H74" s="2784"/>
      <c r="I74" s="2738"/>
      <c r="J74" s="2739"/>
      <c r="K74" s="2739"/>
      <c r="L74" s="2739" t="s">
        <v>3148</v>
      </c>
      <c r="M74" s="3391">
        <f>SUM(H75:H78,N75:N76)</f>
        <v>15</v>
      </c>
      <c r="N74" s="2785">
        <f>30-SUM(Q74:Q79)</f>
        <v>25</v>
      </c>
      <c r="O74" s="2786"/>
      <c r="P74" s="2749"/>
      <c r="Q74" s="2879">
        <f>IF(H75="対象外",5,0)</f>
        <v>0</v>
      </c>
    </row>
    <row r="75" spans="1:20" ht="12" customHeight="1" thickBot="1">
      <c r="A75" s="2616"/>
      <c r="B75" s="2787"/>
      <c r="C75" s="2729" t="s">
        <v>3151</v>
      </c>
      <c r="D75" s="2729"/>
      <c r="E75" s="2729"/>
      <c r="F75" s="2729"/>
      <c r="G75" s="168" t="s">
        <v>3122</v>
      </c>
      <c r="H75" s="3404">
        <f>IF(重み!$D$7=重み!$E$7,IF(スコア!Q37&gt;=スコア!T37,IF(スコア!Q37=0,"対象外",スコア!Q37),IF(スコア!T37=0,"対象外",スコア!T37)),IF(重み!$D$7&gt;重み!$E$7,IF(スコア!Q37=0,"対象外",スコア!Q37),IF(スコア!T37=0,"対象外",スコア!T37)))</f>
        <v>3</v>
      </c>
      <c r="I75" s="2729" t="s">
        <v>3272</v>
      </c>
      <c r="J75" s="2729"/>
      <c r="K75" s="2729"/>
      <c r="L75" s="2729"/>
      <c r="M75" s="168" t="s">
        <v>3122</v>
      </c>
      <c r="N75" s="3404">
        <f>IF(スコア!Q124=0,"対象外",スコア!Q124)</f>
        <v>3</v>
      </c>
      <c r="O75" s="2620"/>
      <c r="P75" s="2621"/>
      <c r="Q75" s="2879">
        <f>IF(H76="対象外",5,0)</f>
        <v>5</v>
      </c>
    </row>
    <row r="76" spans="1:20" s="2789" customFormat="1" ht="12" customHeight="1" thickBot="1">
      <c r="A76" s="2788"/>
      <c r="B76" s="2787"/>
      <c r="C76" s="2729" t="s">
        <v>3152</v>
      </c>
      <c r="D76" s="2729"/>
      <c r="E76" s="2729"/>
      <c r="F76" s="2729"/>
      <c r="G76" s="168" t="s">
        <v>3122</v>
      </c>
      <c r="H76" s="3404" t="str">
        <f>IF(重み!$D$7=重み!$E$7,IF(スコア!Q39&gt;=スコア!T39,IF(スコア!Q39=0,"対象外",スコア!Q39),IF(スコア!T39=0,"対象外",スコア!T39)),IF(重み!$D$7&gt;重み!$E$7,IF(スコア!Q39=0,"対象外",スコア!Q39),IF(スコア!T39=0,"対象外",スコア!T39)))</f>
        <v>対象外</v>
      </c>
      <c r="I76" s="2729" t="s">
        <v>3153</v>
      </c>
      <c r="J76" s="2729"/>
      <c r="K76" s="2729"/>
      <c r="L76" s="2729"/>
      <c r="M76" s="168" t="s">
        <v>3122</v>
      </c>
      <c r="N76" s="3404">
        <f>IF(スコア!Q149=0,"対象外",スコア!Q149)</f>
        <v>3</v>
      </c>
      <c r="O76" s="2620"/>
      <c r="P76" s="2621"/>
      <c r="Q76" s="2879">
        <f>IF(H77="対象外",5,0)</f>
        <v>0</v>
      </c>
      <c r="S76" s="2742"/>
      <c r="T76" s="2614"/>
    </row>
    <row r="77" spans="1:20" ht="12" customHeight="1" thickBot="1">
      <c r="A77" s="2616"/>
      <c r="B77" s="2787"/>
      <c r="C77" s="2729" t="s">
        <v>3283</v>
      </c>
      <c r="D77" s="2729"/>
      <c r="E77" s="2729"/>
      <c r="F77" s="2729"/>
      <c r="G77" s="168" t="s">
        <v>3122</v>
      </c>
      <c r="H77" s="3404">
        <f>IF(重み!$D$7=重み!$E$7,IF(スコア!Q42&gt;=スコア!T42,IF(スコア!Q42=0,"対象外",スコア!Q42),IF(スコア!T42=0,"対象外",スコア!T42)),IF(重み!$D$7&gt;重み!$E$7,IF(スコア!Q42=0,"対象外",スコア!Q42),IF(スコア!T42=0,"対象外",スコア!T42)))</f>
        <v>3</v>
      </c>
      <c r="I77" s="2729"/>
      <c r="J77" s="2729"/>
      <c r="K77" s="2729"/>
      <c r="L77" s="2729"/>
      <c r="M77" s="168"/>
      <c r="N77" s="3412"/>
      <c r="O77" s="2620"/>
      <c r="P77" s="2621"/>
      <c r="Q77" s="2879">
        <f>IF(H78="対象外",5,0)</f>
        <v>0</v>
      </c>
    </row>
    <row r="78" spans="1:20" s="2789" customFormat="1" ht="12" customHeight="1" thickBot="1">
      <c r="A78" s="2647"/>
      <c r="B78" s="2787"/>
      <c r="C78" s="2735" t="s">
        <v>3154</v>
      </c>
      <c r="D78" s="2729"/>
      <c r="E78" s="2729"/>
      <c r="F78" s="2729"/>
      <c r="G78" s="168" t="s">
        <v>3122</v>
      </c>
      <c r="H78" s="3405">
        <f>IF(重み!$D$7=重み!$E$7,IF(スコア!Q56&gt;=スコア!T56,IF(スコア!Q56=0,"対象外",スコア!Q56),IF(スコア!T56=0,"対象外",スコア!T56)),IF(重み!$D$7&gt;重み!$E$7,IF(スコア!Q56=0,"対象外",スコア!Q56),IF(スコア!T56=0,"対象外",スコア!T56)))</f>
        <v>3</v>
      </c>
      <c r="I78" s="2729"/>
      <c r="J78" s="2729"/>
      <c r="K78" s="2729"/>
      <c r="L78" s="2729"/>
      <c r="M78" s="168"/>
      <c r="N78" s="3412"/>
      <c r="O78" s="2620"/>
      <c r="P78" s="2621"/>
      <c r="Q78" s="2879">
        <f>IF(N75="対象外",5,0)</f>
        <v>0</v>
      </c>
      <c r="S78" s="2742"/>
      <c r="T78" s="2614"/>
    </row>
    <row r="79" spans="1:20" s="2789" customFormat="1" ht="12" customHeight="1">
      <c r="A79" s="2790"/>
      <c r="B79" s="2791"/>
      <c r="C79" s="3560" t="s">
        <v>3125</v>
      </c>
      <c r="D79" s="3561"/>
      <c r="E79" s="3561"/>
      <c r="F79" s="3561"/>
      <c r="G79" s="3561"/>
      <c r="H79" s="3561"/>
      <c r="I79" s="3561"/>
      <c r="J79" s="3561"/>
      <c r="K79" s="3561"/>
      <c r="L79" s="3561"/>
      <c r="M79" s="3561"/>
      <c r="N79" s="3562"/>
      <c r="O79" s="2620"/>
      <c r="P79" s="2621"/>
      <c r="Q79" s="2879">
        <f>IF(N76="対象外",5,0)</f>
        <v>0</v>
      </c>
      <c r="S79" s="2742"/>
      <c r="T79" s="2614"/>
    </row>
    <row r="80" spans="1:20" s="2789" customFormat="1" ht="12" customHeight="1" thickBot="1">
      <c r="A80" s="2790"/>
      <c r="B80" s="2792"/>
      <c r="C80" s="3563"/>
      <c r="D80" s="3564"/>
      <c r="E80" s="3564"/>
      <c r="F80" s="3564"/>
      <c r="G80" s="3564"/>
      <c r="H80" s="3564"/>
      <c r="I80" s="3564"/>
      <c r="J80" s="3564"/>
      <c r="K80" s="3564"/>
      <c r="L80" s="3564"/>
      <c r="M80" s="3564"/>
      <c r="N80" s="3565"/>
      <c r="O80" s="2620"/>
      <c r="P80" s="2621"/>
      <c r="Q80" s="2879"/>
      <c r="S80" s="2742"/>
      <c r="T80" s="2614"/>
    </row>
    <row r="81" spans="1:18" ht="15" customHeight="1" thickBot="1">
      <c r="A81" s="2640"/>
      <c r="B81" s="2793"/>
      <c r="C81" s="2794" t="s">
        <v>3144</v>
      </c>
      <c r="D81" s="2745"/>
      <c r="E81" s="2746"/>
      <c r="F81" s="2746"/>
      <c r="G81" s="2746"/>
      <c r="H81" s="2746"/>
      <c r="I81" s="2746"/>
      <c r="J81" s="2746"/>
      <c r="K81" s="2746"/>
      <c r="L81" s="2795" t="s">
        <v>3148</v>
      </c>
      <c r="M81" s="3388">
        <f>COUNTIF(N82:N86,"○")</f>
        <v>1</v>
      </c>
      <c r="N81" s="2747">
        <f>5-SUM(Q82:Q86)</f>
        <v>5</v>
      </c>
      <c r="O81" s="2620"/>
      <c r="P81" s="2621"/>
      <c r="Q81" s="2622"/>
    </row>
    <row r="82" spans="1:18" ht="12" customHeight="1" thickBot="1">
      <c r="A82" s="2616"/>
      <c r="B82" s="2793"/>
      <c r="C82" s="3382" t="s">
        <v>3155</v>
      </c>
      <c r="D82" s="3397"/>
      <c r="E82" s="3398"/>
      <c r="F82" s="3582" t="s">
        <v>3276</v>
      </c>
      <c r="G82" s="3583"/>
      <c r="H82" s="3583"/>
      <c r="I82" s="3583"/>
      <c r="J82" s="3583"/>
      <c r="K82" s="3583"/>
      <c r="L82" s="3583"/>
      <c r="M82" s="3584"/>
      <c r="N82" s="3413" t="str">
        <f>採点LR2!G167</f>
        <v>　</v>
      </c>
      <c r="O82" s="2620"/>
      <c r="P82" s="2621"/>
      <c r="Q82" s="1265">
        <f>IF(N82="対象外",1,0)</f>
        <v>0</v>
      </c>
    </row>
    <row r="83" spans="1:18" ht="12" customHeight="1" thickBot="1">
      <c r="A83" s="2616"/>
      <c r="B83" s="2793"/>
      <c r="C83" s="3572" t="s">
        <v>3156</v>
      </c>
      <c r="D83" s="3572"/>
      <c r="E83" s="3398"/>
      <c r="F83" s="3597" t="s">
        <v>3277</v>
      </c>
      <c r="G83" s="3598"/>
      <c r="H83" s="3598"/>
      <c r="I83" s="3598"/>
      <c r="J83" s="3598"/>
      <c r="K83" s="3598"/>
      <c r="L83" s="3598"/>
      <c r="M83" s="3599"/>
      <c r="N83" s="3413" t="str">
        <f>IF(重み!$D$7=重み!$E$7,IF(OR(採点Q1!F293="○",採点Q1!K293="○"),"○",""),IF(重み!$D$7&gt;重み!$E$7,IF(採点Q1!F293="○","○",""),IF(採点Q1!K293="○","○","")))</f>
        <v>○</v>
      </c>
      <c r="O83" s="2620"/>
      <c r="P83" s="2621"/>
      <c r="Q83" s="1265">
        <f>IF(N83="対象外",1,0)</f>
        <v>0</v>
      </c>
    </row>
    <row r="84" spans="1:18" ht="12" customHeight="1" thickBot="1">
      <c r="A84" s="2616"/>
      <c r="B84" s="2793"/>
      <c r="C84" s="3578" t="s">
        <v>3182</v>
      </c>
      <c r="D84" s="3607"/>
      <c r="E84" s="3399"/>
      <c r="F84" s="3608" t="s">
        <v>3278</v>
      </c>
      <c r="G84" s="3609"/>
      <c r="H84" s="3609"/>
      <c r="I84" s="3609"/>
      <c r="J84" s="3609"/>
      <c r="K84" s="3609"/>
      <c r="L84" s="3609"/>
      <c r="M84" s="3599"/>
      <c r="N84" s="3413" t="str">
        <f>IF(重み!$D$7=重み!$E$7,IF(OR(採点Q1!F315="○",採点Q1!K315="○"),"○",""),IF(重み!$D$7&gt;重み!$E$7,IF(採点Q1!F315="○","○",""),IF(採点Q1!K315="○","○","")))</f>
        <v/>
      </c>
      <c r="O84" s="2620"/>
      <c r="P84" s="2621"/>
      <c r="Q84" s="2880">
        <f t="shared" ref="Q84" si="0">IF(N84="対象外",1,0)</f>
        <v>0</v>
      </c>
      <c r="R84" s="2880"/>
    </row>
    <row r="85" spans="1:18" ht="12" customHeight="1" thickBot="1">
      <c r="A85" s="2616"/>
      <c r="B85" s="2793"/>
      <c r="C85" s="3610" t="s">
        <v>3185</v>
      </c>
      <c r="D85" s="3611"/>
      <c r="E85" s="3611"/>
      <c r="F85" s="3608" t="s">
        <v>3279</v>
      </c>
      <c r="G85" s="3609"/>
      <c r="H85" s="3609"/>
      <c r="I85" s="3609"/>
      <c r="J85" s="3609"/>
      <c r="K85" s="3609"/>
      <c r="L85" s="3609"/>
      <c r="M85" s="3599"/>
      <c r="N85" s="3413" t="str">
        <f>採点LR1!G100</f>
        <v/>
      </c>
      <c r="O85" s="2620"/>
      <c r="P85" s="2621"/>
      <c r="Q85" s="2880">
        <f>IF(N85="対象外",4,0)</f>
        <v>0</v>
      </c>
      <c r="R85" s="2880"/>
    </row>
    <row r="86" spans="1:18" ht="12" customHeight="1" thickBot="1">
      <c r="A86" s="2616"/>
      <c r="B86" s="2796"/>
      <c r="C86" s="3612"/>
      <c r="D86" s="3613"/>
      <c r="E86" s="3613"/>
      <c r="F86" s="3600" t="s">
        <v>3280</v>
      </c>
      <c r="G86" s="3601"/>
      <c r="H86" s="3601"/>
      <c r="I86" s="3601"/>
      <c r="J86" s="3601"/>
      <c r="K86" s="3601"/>
      <c r="L86" s="3601"/>
      <c r="M86" s="3602"/>
      <c r="N86" s="3414" t="str">
        <f>採点LR1!G101</f>
        <v>　</v>
      </c>
      <c r="O86" s="2620"/>
      <c r="P86" s="2621"/>
      <c r="Q86" s="1265">
        <f>IF(N86="対象外",1,0)</f>
        <v>0</v>
      </c>
    </row>
    <row r="87" spans="1:18" ht="6" customHeight="1" thickBot="1">
      <c r="A87" s="2616"/>
      <c r="B87" s="2797"/>
      <c r="C87" s="3394"/>
      <c r="D87" s="3394"/>
      <c r="E87" s="3394"/>
      <c r="F87" s="3394"/>
      <c r="G87" s="3394"/>
      <c r="H87" s="3394"/>
      <c r="I87" s="3394"/>
      <c r="J87" s="3394"/>
      <c r="K87" s="3394"/>
      <c r="L87" s="3394"/>
      <c r="M87" s="3394"/>
      <c r="N87" s="2798"/>
      <c r="O87" s="2620"/>
      <c r="P87" s="2621"/>
    </row>
    <row r="88" spans="1:18" ht="15" customHeight="1" thickBot="1">
      <c r="A88" s="2616"/>
      <c r="B88" s="2654" t="s">
        <v>3157</v>
      </c>
      <c r="C88" s="2655"/>
      <c r="D88" s="2799"/>
      <c r="E88" s="2799"/>
      <c r="F88" s="2800"/>
      <c r="G88" s="2799"/>
      <c r="H88" s="315"/>
      <c r="I88" s="2801"/>
      <c r="J88" s="2802"/>
      <c r="K88" s="2799"/>
      <c r="L88" s="2799"/>
      <c r="M88" s="2799"/>
      <c r="N88" s="2803"/>
      <c r="O88" s="2620"/>
      <c r="P88" s="2621"/>
      <c r="Q88" s="2622" t="b">
        <f>IF(採点Q3!G50="○",TRUE,FALSE)</f>
        <v>1</v>
      </c>
      <c r="R88" s="2804" t="s">
        <v>4157</v>
      </c>
    </row>
    <row r="89" spans="1:18" ht="12" customHeight="1">
      <c r="A89" s="2616"/>
      <c r="B89" s="3415"/>
      <c r="C89" s="3396" t="str">
        <f>IF($Q$88=FALSE,"□ Q1/3.1.3 昼光利用設備","☑ Q1/3.1.3 昼光利用設備")</f>
        <v>☑ Q1/3.1.3 昼光利用設備</v>
      </c>
      <c r="D89" s="3393"/>
      <c r="E89" s="3396" t="str">
        <f>IF($Q$89=FALSE,"□ Q1/3.2.1 昼光制御","☑ Q1/3.2.1 昼光制御")</f>
        <v>□ Q1/3.2.1 昼光制御</v>
      </c>
      <c r="F89" s="3393"/>
      <c r="G89" s="3393"/>
      <c r="H89" s="3393"/>
      <c r="I89" s="3396" t="str">
        <f>IF($Q$90=FALSE,"□ Q3/1 生物環境の保全と創出","☑ Q3/1 生物環境の保全と創出")</f>
        <v>☑ Q3/1 生物環境の保全と創出</v>
      </c>
      <c r="J89" s="3393"/>
      <c r="K89" s="3393"/>
      <c r="L89" s="2805" t="s">
        <v>3158</v>
      </c>
      <c r="M89" s="3603">
        <f>COUNTIF(Q88:Q93,"TRUE")</f>
        <v>2</v>
      </c>
      <c r="N89" s="3604"/>
      <c r="O89" s="2620"/>
      <c r="P89" s="2621"/>
      <c r="Q89" s="2622" t="b">
        <f>IF(採点Q3!G51="○",TRUE,FALSE)</f>
        <v>0</v>
      </c>
      <c r="R89" s="2806" t="s">
        <v>3181</v>
      </c>
    </row>
    <row r="90" spans="1:18" ht="12" customHeight="1">
      <c r="A90" s="2616"/>
      <c r="B90" s="3415"/>
      <c r="C90" s="3396" t="str">
        <f>IF($Q$91=FALSE,"□ Q3/3.2 敷地内温熱環境の向上","☑ Q3/3.2 敷地内温熱環境の向上")</f>
        <v>□ Q3/3.2 敷地内温熱環境の向上</v>
      </c>
      <c r="D90" s="3393"/>
      <c r="E90" s="3396" t="str">
        <f>IF($Q$92=FALSE,"□ LR3/2.2 温熱環境悪化の改善　","☑ LR3/2.2 温熱環境悪化の改善　")</f>
        <v>□ LR3/2.2 温熱環境悪化の改善　</v>
      </c>
      <c r="F90" s="3393"/>
      <c r="G90" s="3393"/>
      <c r="H90" s="3393"/>
      <c r="I90" s="3396" t="str">
        <f>IF($Q$93=FALSE,"□ LR3/3.3.2 昼光の建物外壁による反射光","☑ LR3/3.3.2 昼光の建物外壁による反射光")</f>
        <v>□ LR3/3.3.2 昼光の建物外壁による反射光</v>
      </c>
      <c r="J90" s="3393"/>
      <c r="K90" s="3393"/>
      <c r="L90" s="3591" t="s">
        <v>3159</v>
      </c>
      <c r="M90" s="3605"/>
      <c r="N90" s="3606"/>
      <c r="O90" s="2620"/>
      <c r="P90" s="2621"/>
      <c r="Q90" s="2622" t="b">
        <f>IF(採点Q3!G52="○",TRUE,FALSE)</f>
        <v>1</v>
      </c>
      <c r="R90" s="2804" t="s">
        <v>3160</v>
      </c>
    </row>
    <row r="91" spans="1:18" ht="12" customHeight="1" thickBot="1">
      <c r="A91" s="2616"/>
      <c r="B91" s="3416"/>
      <c r="C91" s="3417"/>
      <c r="D91" s="3417"/>
      <c r="E91" s="3417"/>
      <c r="F91" s="3417"/>
      <c r="G91" s="3417"/>
      <c r="H91" s="3417"/>
      <c r="I91" s="3417" t="s">
        <v>4159</v>
      </c>
      <c r="J91" s="3417"/>
      <c r="K91" s="3418"/>
      <c r="L91" s="3592"/>
      <c r="M91" s="3605"/>
      <c r="N91" s="3606"/>
      <c r="O91" s="2620"/>
      <c r="P91" s="2621"/>
      <c r="Q91" s="2622" t="b">
        <f>IF(採点Q3!G53="○",TRUE,FALSE)</f>
        <v>0</v>
      </c>
      <c r="R91" s="2804" t="s">
        <v>3161</v>
      </c>
    </row>
    <row r="92" spans="1:18" ht="6" customHeight="1" thickBot="1">
      <c r="A92" s="2616"/>
      <c r="B92" s="2616"/>
      <c r="C92" s="2616"/>
      <c r="D92" s="2616"/>
      <c r="E92" s="2616"/>
      <c r="F92" s="2616"/>
      <c r="G92" s="2616"/>
      <c r="H92" s="2616"/>
      <c r="I92" s="2616"/>
      <c r="J92" s="2616"/>
      <c r="K92" s="2616"/>
      <c r="L92" s="2616"/>
      <c r="M92" s="2807"/>
      <c r="N92" s="2808"/>
      <c r="O92" s="2620"/>
      <c r="P92" s="2621"/>
      <c r="Q92" s="2622" t="b">
        <f>IF(採点Q3!G54="○",TRUE,FALSE)</f>
        <v>0</v>
      </c>
      <c r="R92" s="2804" t="s">
        <v>3162</v>
      </c>
    </row>
    <row r="93" spans="1:18" ht="15" customHeight="1" thickBot="1">
      <c r="A93" s="2616"/>
      <c r="B93" s="2654" t="s">
        <v>3163</v>
      </c>
      <c r="C93" s="2655"/>
      <c r="D93" s="2655"/>
      <c r="E93" s="2799"/>
      <c r="F93" s="2800"/>
      <c r="G93" s="2799"/>
      <c r="H93" s="315"/>
      <c r="I93" s="2801"/>
      <c r="J93" s="2799"/>
      <c r="K93" s="2799"/>
      <c r="L93" s="2799"/>
      <c r="M93" s="2799"/>
      <c r="N93" s="2803"/>
      <c r="O93" s="2620"/>
      <c r="P93" s="2621"/>
      <c r="Q93" s="2622" t="b">
        <f>IF(採点Q3!G55="○",TRUE,FALSE)</f>
        <v>0</v>
      </c>
      <c r="R93" s="2804" t="s">
        <v>3164</v>
      </c>
    </row>
    <row r="94" spans="1:18" ht="12" customHeight="1" thickBot="1">
      <c r="A94" s="2616"/>
      <c r="B94" s="2809"/>
      <c r="C94" s="3396" t="s">
        <v>3165</v>
      </c>
      <c r="D94" s="3396"/>
      <c r="E94" s="3394"/>
      <c r="F94" s="3394"/>
      <c r="G94" s="1081"/>
      <c r="H94" s="2743"/>
      <c r="I94" s="2743"/>
      <c r="J94" s="3419" t="e">
        <f>CO2計算!L136</f>
        <v>#VALUE!</v>
      </c>
      <c r="K94" s="2811" t="s">
        <v>3166</v>
      </c>
      <c r="L94" s="2805" t="s">
        <v>3167</v>
      </c>
      <c r="M94" s="3585" t="e">
        <f>IF(J96=0,0,IF(J96&lt;0,"+"&amp;ROUND(($J$96/$J$95)*(-1)*100,1),"▲"&amp;ROUND(($J$96/$J$95)*100,1)))&amp;"％"</f>
        <v>#VALUE!</v>
      </c>
      <c r="N94" s="3586"/>
      <c r="O94" s="2620"/>
      <c r="P94" s="2621"/>
    </row>
    <row r="95" spans="1:18" ht="12" customHeight="1" thickBot="1">
      <c r="A95" s="2616"/>
      <c r="B95" s="2809"/>
      <c r="C95" s="3396" t="s">
        <v>3168</v>
      </c>
      <c r="D95" s="3396"/>
      <c r="E95" s="3394"/>
      <c r="F95" s="3394"/>
      <c r="G95" s="1081"/>
      <c r="H95" s="2743"/>
      <c r="I95" s="2743"/>
      <c r="J95" s="3419" t="e">
        <f>CO2計算!O136</f>
        <v>#VALUE!</v>
      </c>
      <c r="K95" s="2811" t="s">
        <v>3166</v>
      </c>
      <c r="L95" s="3591" t="s">
        <v>3169</v>
      </c>
      <c r="M95" s="3587"/>
      <c r="N95" s="3588"/>
      <c r="O95" s="2620"/>
      <c r="P95" s="2621"/>
      <c r="Q95" s="2622"/>
    </row>
    <row r="96" spans="1:18" ht="12" customHeight="1" thickBot="1">
      <c r="A96" s="2616"/>
      <c r="B96" s="2812"/>
      <c r="C96" s="2813" t="s">
        <v>3170</v>
      </c>
      <c r="D96" s="2813"/>
      <c r="E96" s="2814"/>
      <c r="F96" s="2814"/>
      <c r="G96" s="2815"/>
      <c r="H96" s="2651"/>
      <c r="I96" s="2651"/>
      <c r="J96" s="2899" t="e">
        <f>J94-J95</f>
        <v>#VALUE!</v>
      </c>
      <c r="K96" s="2816" t="s">
        <v>3166</v>
      </c>
      <c r="L96" s="3592"/>
      <c r="M96" s="3589"/>
      <c r="N96" s="3590"/>
      <c r="O96" s="2620"/>
      <c r="P96" s="2621"/>
      <c r="Q96" s="2622"/>
    </row>
    <row r="97" spans="1:17" ht="6" customHeight="1" thickBot="1">
      <c r="A97" s="2616"/>
      <c r="B97" s="2616"/>
      <c r="C97" s="2616"/>
      <c r="D97" s="2616"/>
      <c r="E97" s="2616"/>
      <c r="F97" s="2616"/>
      <c r="G97" s="2616"/>
      <c r="H97" s="2616"/>
      <c r="I97" s="2616"/>
      <c r="J97" s="2616"/>
      <c r="K97" s="2616"/>
      <c r="L97" s="2616"/>
      <c r="M97" s="2652"/>
      <c r="N97" s="2653"/>
      <c r="O97" s="2620"/>
      <c r="P97" s="2621"/>
      <c r="Q97" s="2622"/>
    </row>
    <row r="98" spans="1:17" ht="15" customHeight="1" thickBot="1">
      <c r="A98" s="2616"/>
      <c r="B98" s="2654" t="s">
        <v>3171</v>
      </c>
      <c r="C98" s="2655"/>
      <c r="D98" s="2655"/>
      <c r="E98" s="2799"/>
      <c r="F98" s="2800"/>
      <c r="G98" s="2799"/>
      <c r="H98" s="315"/>
      <c r="I98" s="2801"/>
      <c r="J98" s="2817"/>
      <c r="K98" s="2799"/>
      <c r="L98" s="2799"/>
      <c r="M98" s="2799"/>
      <c r="N98" s="2803"/>
      <c r="O98" s="2620"/>
      <c r="P98" s="2621"/>
    </row>
    <row r="99" spans="1:17" ht="12" customHeight="1" thickBot="1">
      <c r="A99" s="2616"/>
      <c r="B99" s="2809"/>
      <c r="C99" s="3396" t="s">
        <v>3172</v>
      </c>
      <c r="D99" s="3396"/>
      <c r="E99" s="3394"/>
      <c r="F99" s="3394"/>
      <c r="G99" s="1081"/>
      <c r="H99" s="2614"/>
      <c r="I99" s="2614"/>
      <c r="J99" s="2818"/>
      <c r="K99" s="2819" t="s">
        <v>3173</v>
      </c>
      <c r="L99" s="2820" t="s">
        <v>3174</v>
      </c>
      <c r="M99" s="3593" t="str">
        <f>ROUND($J$99/($Q$99+$J$100)*100,1)&amp;"％"</f>
        <v>0％</v>
      </c>
      <c r="N99" s="3594"/>
      <c r="O99" s="2620"/>
      <c r="P99" s="2621"/>
      <c r="Q99" s="2821">
        <f>IF(OR(J99="",J99=0),1,J99)</f>
        <v>1</v>
      </c>
    </row>
    <row r="100" spans="1:17" ht="12" customHeight="1" thickBot="1">
      <c r="A100" s="2616"/>
      <c r="B100" s="2812"/>
      <c r="C100" s="2813" t="s">
        <v>3175</v>
      </c>
      <c r="D100" s="2813"/>
      <c r="E100" s="2814"/>
      <c r="F100" s="2814"/>
      <c r="G100" s="2815"/>
      <c r="H100" s="2651"/>
      <c r="I100" s="2651"/>
      <c r="J100" s="2822"/>
      <c r="K100" s="2823" t="s">
        <v>3176</v>
      </c>
      <c r="L100" s="2824" t="s">
        <v>3169</v>
      </c>
      <c r="M100" s="3595"/>
      <c r="N100" s="3596"/>
      <c r="O100" s="2620"/>
      <c r="P100" s="2621"/>
      <c r="Q100" s="2622"/>
    </row>
    <row r="101" spans="1:17" ht="8.1" customHeight="1">
      <c r="A101" s="2616"/>
      <c r="B101" s="2797"/>
      <c r="C101" s="2810"/>
      <c r="D101" s="2810"/>
      <c r="E101" s="2810"/>
      <c r="F101" s="2751"/>
      <c r="G101" s="2751"/>
      <c r="H101" s="1081"/>
      <c r="I101" s="2825"/>
      <c r="J101" s="2826"/>
      <c r="K101" s="2811"/>
      <c r="L101" s="2827"/>
      <c r="M101" s="2827"/>
      <c r="N101" s="2828"/>
      <c r="O101" s="2620"/>
      <c r="P101" s="2621"/>
      <c r="Q101" s="2622"/>
    </row>
    <row r="102" spans="1:17" ht="12" customHeight="1">
      <c r="A102" s="2616"/>
      <c r="B102" s="2616"/>
      <c r="C102" s="2829"/>
      <c r="D102" s="2831" t="s">
        <v>3177</v>
      </c>
      <c r="E102" s="2830"/>
      <c r="F102" s="2614"/>
      <c r="G102" s="2614"/>
      <c r="H102" s="2832" t="s">
        <v>3178</v>
      </c>
      <c r="J102" s="2614"/>
      <c r="K102" s="2614"/>
      <c r="M102" s="2616"/>
      <c r="N102" s="2653"/>
      <c r="O102" s="2620"/>
      <c r="P102" s="2621"/>
      <c r="Q102" s="2833"/>
    </row>
    <row r="103" spans="1:17" ht="14.25" customHeight="1">
      <c r="A103" s="2616"/>
      <c r="B103" s="2616"/>
      <c r="C103" s="2834"/>
      <c r="D103" s="2614"/>
      <c r="E103" s="2614"/>
      <c r="F103" s="2616"/>
      <c r="G103" s="2835"/>
      <c r="H103" s="2614"/>
      <c r="I103" s="2614"/>
      <c r="J103" s="2616"/>
      <c r="K103" s="2616"/>
      <c r="L103" s="2616"/>
      <c r="M103" s="2616"/>
      <c r="N103" s="2653"/>
      <c r="O103" s="2620"/>
      <c r="P103" s="2620"/>
      <c r="Q103" s="2622"/>
    </row>
    <row r="104" spans="1:17" ht="12" customHeight="1">
      <c r="A104" s="2616"/>
      <c r="B104" s="2616"/>
      <c r="C104" s="2614"/>
      <c r="D104" s="2614"/>
      <c r="E104" s="2614"/>
      <c r="F104" s="2614"/>
      <c r="G104" s="2614"/>
      <c r="H104" s="2614"/>
      <c r="I104" s="2614"/>
      <c r="J104" s="2614"/>
      <c r="K104" s="2614"/>
      <c r="L104" s="2614"/>
      <c r="M104" s="2614"/>
      <c r="N104" s="2828"/>
      <c r="O104" s="2620"/>
      <c r="P104" s="2620"/>
      <c r="Q104" s="2622"/>
    </row>
    <row r="105" spans="1:17" ht="8.1" customHeight="1">
      <c r="A105" s="2616"/>
      <c r="B105" s="2614"/>
      <c r="C105" s="2614"/>
      <c r="D105" s="2446"/>
      <c r="E105" s="2446"/>
      <c r="F105" s="2446"/>
      <c r="G105" s="2446"/>
      <c r="H105" s="2446"/>
      <c r="I105" s="2446"/>
      <c r="J105" s="2446"/>
      <c r="K105" s="2446"/>
      <c r="L105" s="2446"/>
      <c r="M105" s="2614"/>
      <c r="N105" s="3420"/>
      <c r="O105" s="2620"/>
      <c r="P105" s="2620"/>
      <c r="Q105" s="2622"/>
    </row>
    <row r="106" spans="1:17" ht="7.5" customHeight="1">
      <c r="A106" s="2616"/>
      <c r="B106" s="2614"/>
      <c r="C106" s="2614"/>
      <c r="D106" s="2446"/>
      <c r="E106" s="2446"/>
      <c r="F106" s="2446"/>
      <c r="G106" s="2446"/>
      <c r="H106" s="2446"/>
      <c r="I106" s="2446"/>
      <c r="J106" s="2446"/>
      <c r="K106" s="2446"/>
      <c r="L106" s="2446"/>
      <c r="M106" s="2614"/>
      <c r="N106" s="2616"/>
      <c r="O106" s="2620"/>
      <c r="P106" s="2620"/>
      <c r="Q106" s="2622"/>
    </row>
    <row r="107" spans="1:17" ht="12" customHeight="1">
      <c r="A107" s="2616"/>
      <c r="B107" s="2614"/>
      <c r="C107" s="2614"/>
      <c r="D107" s="2446"/>
      <c r="E107" s="2446"/>
      <c r="F107" s="2446"/>
      <c r="G107" s="2446"/>
      <c r="H107" s="2446"/>
      <c r="I107" s="2446"/>
      <c r="J107" s="2446"/>
      <c r="K107" s="2446"/>
      <c r="L107" s="2446"/>
      <c r="M107" s="2614"/>
      <c r="N107" s="2616"/>
      <c r="O107" s="2620"/>
      <c r="P107" s="2620"/>
      <c r="Q107" s="2622"/>
    </row>
    <row r="108" spans="1:17" ht="12" customHeight="1">
      <c r="A108" s="2616"/>
      <c r="B108" s="2614"/>
      <c r="C108" s="2614"/>
      <c r="D108" s="2614"/>
      <c r="E108" s="2614"/>
      <c r="F108" s="2614"/>
      <c r="G108" s="2614"/>
      <c r="H108" s="2614"/>
      <c r="I108" s="2614"/>
      <c r="J108" s="2614"/>
      <c r="K108" s="2614"/>
      <c r="L108" s="2614"/>
      <c r="M108" s="2614"/>
      <c r="N108" s="2614"/>
      <c r="O108" s="2620"/>
      <c r="P108" s="2620"/>
      <c r="Q108" s="2622"/>
    </row>
    <row r="109" spans="1:17" ht="12" customHeight="1">
      <c r="A109" s="2616"/>
      <c r="B109" s="2616"/>
      <c r="C109" s="2616"/>
      <c r="D109" s="2616"/>
      <c r="E109" s="2616"/>
      <c r="F109" s="2616"/>
      <c r="G109" s="2616"/>
      <c r="H109" s="2616"/>
      <c r="I109" s="2616"/>
      <c r="J109" s="2616"/>
      <c r="K109" s="2616"/>
      <c r="L109" s="2616"/>
      <c r="M109" s="2652"/>
      <c r="N109" s="2653"/>
      <c r="O109" s="2620"/>
      <c r="P109" s="2620"/>
      <c r="Q109" s="2622"/>
    </row>
    <row r="110" spans="1:17" ht="12" customHeight="1">
      <c r="A110" s="2616"/>
      <c r="B110" s="2616"/>
      <c r="C110" s="2830"/>
      <c r="D110" s="2830"/>
      <c r="E110" s="2614"/>
      <c r="F110" s="2616"/>
      <c r="G110" s="2616"/>
      <c r="H110" s="2616"/>
      <c r="I110" s="2616"/>
      <c r="J110" s="2616"/>
      <c r="K110" s="2616"/>
      <c r="L110" s="2616"/>
      <c r="M110" s="2652"/>
      <c r="N110" s="2653"/>
      <c r="O110" s="2614"/>
      <c r="P110" s="2614"/>
    </row>
    <row r="111" spans="1:17" ht="12" customHeight="1">
      <c r="A111" s="2616"/>
      <c r="B111" s="2616"/>
      <c r="C111" s="2614"/>
      <c r="D111" s="2614"/>
      <c r="E111" s="2616"/>
      <c r="F111" s="2616"/>
      <c r="G111" s="2616"/>
      <c r="H111" s="2616"/>
      <c r="I111" s="2616"/>
      <c r="J111" s="2616"/>
      <c r="K111" s="2616"/>
      <c r="L111" s="2616"/>
      <c r="M111" s="2652"/>
      <c r="N111" s="2653"/>
      <c r="O111" s="2614"/>
      <c r="P111" s="2614"/>
    </row>
    <row r="112" spans="1:17" ht="12" customHeight="1">
      <c r="A112" s="2616"/>
      <c r="B112" s="2616"/>
      <c r="C112" s="2616"/>
      <c r="D112" s="2616"/>
      <c r="E112" s="2616"/>
      <c r="F112" s="2616"/>
      <c r="G112" s="2616"/>
      <c r="H112" s="2616"/>
      <c r="I112" s="2616"/>
      <c r="J112" s="2616"/>
      <c r="K112" s="2616"/>
      <c r="L112" s="2616"/>
      <c r="M112" s="2652"/>
      <c r="N112" s="2653"/>
      <c r="O112" s="2614"/>
      <c r="P112" s="2614"/>
    </row>
    <row r="113" spans="2:16" ht="12" customHeight="1">
      <c r="B113" s="2616"/>
      <c r="C113" s="2616"/>
      <c r="D113" s="2616"/>
      <c r="E113" s="2616"/>
      <c r="F113" s="2616"/>
      <c r="G113" s="2616"/>
      <c r="H113" s="2616"/>
      <c r="I113" s="2616"/>
      <c r="J113" s="2616"/>
      <c r="K113" s="2616"/>
      <c r="L113" s="2616"/>
      <c r="M113" s="2652"/>
      <c r="N113" s="2653"/>
      <c r="O113" s="2614"/>
      <c r="P113" s="2614"/>
    </row>
    <row r="114" spans="2:16" ht="12" customHeight="1">
      <c r="B114" s="2616"/>
      <c r="C114" s="2616"/>
      <c r="D114" s="2616"/>
      <c r="E114" s="2616"/>
      <c r="F114" s="2616"/>
      <c r="G114" s="2616"/>
      <c r="H114" s="2616"/>
      <c r="I114" s="2616"/>
      <c r="J114" s="2616"/>
      <c r="K114" s="2616"/>
      <c r="L114" s="2616"/>
      <c r="M114" s="2652"/>
      <c r="N114" s="2653"/>
      <c r="O114" s="2614"/>
      <c r="P114" s="2614"/>
    </row>
    <row r="115" spans="2:16" ht="12" customHeight="1">
      <c r="B115" s="2616"/>
      <c r="C115" s="2616"/>
      <c r="D115" s="2616"/>
      <c r="E115" s="2616"/>
      <c r="F115" s="2616"/>
      <c r="G115" s="2616"/>
      <c r="H115" s="2616"/>
      <c r="I115" s="2616"/>
      <c r="J115" s="2616"/>
      <c r="K115" s="2616"/>
      <c r="L115" s="2616"/>
      <c r="M115" s="2652"/>
      <c r="N115" s="2653"/>
      <c r="O115" s="2614"/>
      <c r="P115" s="2614"/>
    </row>
    <row r="116" spans="2:16" ht="12" customHeight="1">
      <c r="B116" s="2614"/>
      <c r="C116" s="2614"/>
      <c r="D116" s="2614"/>
      <c r="E116" s="2614"/>
      <c r="F116" s="2614"/>
      <c r="G116" s="2614"/>
      <c r="H116" s="2614"/>
      <c r="I116" s="2614"/>
      <c r="J116" s="2614"/>
      <c r="K116" s="2614"/>
      <c r="L116" s="2614"/>
      <c r="M116" s="2614"/>
      <c r="N116" s="2614"/>
      <c r="O116" s="2614"/>
      <c r="P116" s="2614"/>
    </row>
  </sheetData>
  <sheetProtection algorithmName="SHA-512" hashValue="GYTT+NMeL950ngHEZmLIMS5ybt2aAqfoqGrawz/eJ8nGLQlo92TwOmG5q2dUo3RMtB9P3YdNpkew0PT1FmWKkw==" saltValue="P7uKfrU4coAVDJEsy/fhNg==" spinCount="100000" sheet="1" objects="1" scenarios="1" selectLockedCells="1"/>
  <mergeCells count="62">
    <mergeCell ref="M94:N96"/>
    <mergeCell ref="L95:L96"/>
    <mergeCell ref="M99:N100"/>
    <mergeCell ref="C83:D83"/>
    <mergeCell ref="F83:M83"/>
    <mergeCell ref="F86:M86"/>
    <mergeCell ref="M89:N91"/>
    <mergeCell ref="L90:L91"/>
    <mergeCell ref="C84:D84"/>
    <mergeCell ref="F84:M84"/>
    <mergeCell ref="F85:M85"/>
    <mergeCell ref="C85:E86"/>
    <mergeCell ref="C66:F66"/>
    <mergeCell ref="G66:M66"/>
    <mergeCell ref="C72:N73"/>
    <mergeCell ref="C79:N80"/>
    <mergeCell ref="F82:M82"/>
    <mergeCell ref="C65:F65"/>
    <mergeCell ref="G65:M65"/>
    <mergeCell ref="C43:N44"/>
    <mergeCell ref="C46:E46"/>
    <mergeCell ref="F46:M46"/>
    <mergeCell ref="C47:E47"/>
    <mergeCell ref="F47:M47"/>
    <mergeCell ref="C48:E48"/>
    <mergeCell ref="F48:L48"/>
    <mergeCell ref="C49:D49"/>
    <mergeCell ref="I55:L55"/>
    <mergeCell ref="C56:H57"/>
    <mergeCell ref="I56:N57"/>
    <mergeCell ref="C62:N63"/>
    <mergeCell ref="C23:G23"/>
    <mergeCell ref="C24:E24"/>
    <mergeCell ref="F24:G24"/>
    <mergeCell ref="I31:N32"/>
    <mergeCell ref="C36:H37"/>
    <mergeCell ref="I36:N37"/>
    <mergeCell ref="C20:E20"/>
    <mergeCell ref="F20:G20"/>
    <mergeCell ref="C21:E21"/>
    <mergeCell ref="F21:G21"/>
    <mergeCell ref="C22:E22"/>
    <mergeCell ref="F22:G22"/>
    <mergeCell ref="C17:E17"/>
    <mergeCell ref="F17:G17"/>
    <mergeCell ref="C18:E18"/>
    <mergeCell ref="F18:G18"/>
    <mergeCell ref="C19:E19"/>
    <mergeCell ref="F19:G19"/>
    <mergeCell ref="K9:K10"/>
    <mergeCell ref="L9:N10"/>
    <mergeCell ref="C16:E16"/>
    <mergeCell ref="F16:G16"/>
    <mergeCell ref="F6:J6"/>
    <mergeCell ref="D9:H9"/>
    <mergeCell ref="I9:I10"/>
    <mergeCell ref="J9:J10"/>
    <mergeCell ref="D11:H11"/>
    <mergeCell ref="K11:N11"/>
    <mergeCell ref="D12:H12"/>
    <mergeCell ref="K12:N12"/>
    <mergeCell ref="F15:H15"/>
  </mergeCells>
  <phoneticPr fontId="21"/>
  <conditionalFormatting sqref="M22:N24">
    <cfRule type="expression" dxfId="350" priority="1" stopIfTrue="1">
      <formula>$E$22&gt;=#REF!</formula>
    </cfRule>
    <cfRule type="expression" dxfId="349" priority="2" stopIfTrue="1">
      <formula>$E$22&gt;=#REF!</formula>
    </cfRule>
  </conditionalFormatting>
  <conditionalFormatting sqref="M16:N18">
    <cfRule type="expression" dxfId="348" priority="3" stopIfTrue="1">
      <formula>$E$16&gt;=#REF!</formula>
    </cfRule>
    <cfRule type="expression" dxfId="347" priority="4" stopIfTrue="1">
      <formula>$E$16&gt;=#REF!</formula>
    </cfRule>
  </conditionalFormatting>
  <conditionalFormatting sqref="M19:N21">
    <cfRule type="expression" dxfId="346" priority="5" stopIfTrue="1">
      <formula>$E$19&gt;=#REF!</formula>
    </cfRule>
    <cfRule type="expression" dxfId="345" priority="6" stopIfTrue="1">
      <formula>$E$19&gt;=#REF!</formula>
    </cfRule>
  </conditionalFormatting>
  <dataValidations count="3">
    <dataValidation type="list" allowBlank="1" showInputMessage="1" showErrorMessage="1" sqref="WCD983088:WCD983090 VSH983088:VSH983090 N65620:N65622 JJ65620:JJ65622 TF65620:TF65622 ADB65620:ADB65622 AMX65620:AMX65622 AWT65620:AWT65622 BGP65620:BGP65622 BQL65620:BQL65622 CAH65620:CAH65622 CKD65620:CKD65622 CTZ65620:CTZ65622 DDV65620:DDV65622 DNR65620:DNR65622 DXN65620:DXN65622 EHJ65620:EHJ65622 ERF65620:ERF65622 FBB65620:FBB65622 FKX65620:FKX65622 FUT65620:FUT65622 GEP65620:GEP65622 GOL65620:GOL65622 GYH65620:GYH65622 HID65620:HID65622 HRZ65620:HRZ65622 IBV65620:IBV65622 ILR65620:ILR65622 IVN65620:IVN65622 JFJ65620:JFJ65622 JPF65620:JPF65622 JZB65620:JZB65622 KIX65620:KIX65622 KST65620:KST65622 LCP65620:LCP65622 LML65620:LML65622 LWH65620:LWH65622 MGD65620:MGD65622 MPZ65620:MPZ65622 MZV65620:MZV65622 NJR65620:NJR65622 NTN65620:NTN65622 ODJ65620:ODJ65622 ONF65620:ONF65622 OXB65620:OXB65622 PGX65620:PGX65622 PQT65620:PQT65622 QAP65620:QAP65622 QKL65620:QKL65622 QUH65620:QUH65622 RED65620:RED65622 RNZ65620:RNZ65622 RXV65620:RXV65622 SHR65620:SHR65622 SRN65620:SRN65622 TBJ65620:TBJ65622 TLF65620:TLF65622 TVB65620:TVB65622 UEX65620:UEX65622 UOT65620:UOT65622 UYP65620:UYP65622 VIL65620:VIL65622 VSH65620:VSH65622 WCD65620:WCD65622 WLZ65620:WLZ65622 WVV65620:WVV65622 N131156:N131158 JJ131156:JJ131158 TF131156:TF131158 ADB131156:ADB131158 AMX131156:AMX131158 AWT131156:AWT131158 BGP131156:BGP131158 BQL131156:BQL131158 CAH131156:CAH131158 CKD131156:CKD131158 CTZ131156:CTZ131158 DDV131156:DDV131158 DNR131156:DNR131158 DXN131156:DXN131158 EHJ131156:EHJ131158 ERF131156:ERF131158 FBB131156:FBB131158 FKX131156:FKX131158 FUT131156:FUT131158 GEP131156:GEP131158 GOL131156:GOL131158 GYH131156:GYH131158 HID131156:HID131158 HRZ131156:HRZ131158 IBV131156:IBV131158 ILR131156:ILR131158 IVN131156:IVN131158 JFJ131156:JFJ131158 JPF131156:JPF131158 JZB131156:JZB131158 KIX131156:KIX131158 KST131156:KST131158 LCP131156:LCP131158 LML131156:LML131158 LWH131156:LWH131158 MGD131156:MGD131158 MPZ131156:MPZ131158 MZV131156:MZV131158 NJR131156:NJR131158 NTN131156:NTN131158 ODJ131156:ODJ131158 ONF131156:ONF131158 OXB131156:OXB131158 PGX131156:PGX131158 PQT131156:PQT131158 QAP131156:QAP131158 QKL131156:QKL131158 QUH131156:QUH131158 RED131156:RED131158 RNZ131156:RNZ131158 RXV131156:RXV131158 SHR131156:SHR131158 SRN131156:SRN131158 TBJ131156:TBJ131158 TLF131156:TLF131158 TVB131156:TVB131158 UEX131156:UEX131158 UOT131156:UOT131158 UYP131156:UYP131158 VIL131156:VIL131158 VSH131156:VSH131158 WCD131156:WCD131158 WLZ131156:WLZ131158 WVV131156:WVV131158 N196692:N196694 JJ196692:JJ196694 TF196692:TF196694 ADB196692:ADB196694 AMX196692:AMX196694 AWT196692:AWT196694 BGP196692:BGP196694 BQL196692:BQL196694 CAH196692:CAH196694 CKD196692:CKD196694 CTZ196692:CTZ196694 DDV196692:DDV196694 DNR196692:DNR196694 DXN196692:DXN196694 EHJ196692:EHJ196694 ERF196692:ERF196694 FBB196692:FBB196694 FKX196692:FKX196694 FUT196692:FUT196694 GEP196692:GEP196694 GOL196692:GOL196694 GYH196692:GYH196694 HID196692:HID196694 HRZ196692:HRZ196694 IBV196692:IBV196694 ILR196692:ILR196694 IVN196692:IVN196694 JFJ196692:JFJ196694 JPF196692:JPF196694 JZB196692:JZB196694 KIX196692:KIX196694 KST196692:KST196694 LCP196692:LCP196694 LML196692:LML196694 LWH196692:LWH196694 MGD196692:MGD196694 MPZ196692:MPZ196694 MZV196692:MZV196694 NJR196692:NJR196694 NTN196692:NTN196694 ODJ196692:ODJ196694 ONF196692:ONF196694 OXB196692:OXB196694 PGX196692:PGX196694 PQT196692:PQT196694 QAP196692:QAP196694 QKL196692:QKL196694 QUH196692:QUH196694 RED196692:RED196694 RNZ196692:RNZ196694 RXV196692:RXV196694 SHR196692:SHR196694 SRN196692:SRN196694 TBJ196692:TBJ196694 TLF196692:TLF196694 TVB196692:TVB196694 UEX196692:UEX196694 UOT196692:UOT196694 UYP196692:UYP196694 VIL196692:VIL196694 VSH196692:VSH196694 WCD196692:WCD196694 WLZ196692:WLZ196694 WVV196692:WVV196694 N262228:N262230 JJ262228:JJ262230 TF262228:TF262230 ADB262228:ADB262230 AMX262228:AMX262230 AWT262228:AWT262230 BGP262228:BGP262230 BQL262228:BQL262230 CAH262228:CAH262230 CKD262228:CKD262230 CTZ262228:CTZ262230 DDV262228:DDV262230 DNR262228:DNR262230 DXN262228:DXN262230 EHJ262228:EHJ262230 ERF262228:ERF262230 FBB262228:FBB262230 FKX262228:FKX262230 FUT262228:FUT262230 GEP262228:GEP262230 GOL262228:GOL262230 GYH262228:GYH262230 HID262228:HID262230 HRZ262228:HRZ262230 IBV262228:IBV262230 ILR262228:ILR262230 IVN262228:IVN262230 JFJ262228:JFJ262230 JPF262228:JPF262230 JZB262228:JZB262230 KIX262228:KIX262230 KST262228:KST262230 LCP262228:LCP262230 LML262228:LML262230 LWH262228:LWH262230 MGD262228:MGD262230 MPZ262228:MPZ262230 MZV262228:MZV262230 NJR262228:NJR262230 NTN262228:NTN262230 ODJ262228:ODJ262230 ONF262228:ONF262230 OXB262228:OXB262230 PGX262228:PGX262230 PQT262228:PQT262230 QAP262228:QAP262230 QKL262228:QKL262230 QUH262228:QUH262230 RED262228:RED262230 RNZ262228:RNZ262230 RXV262228:RXV262230 SHR262228:SHR262230 SRN262228:SRN262230 TBJ262228:TBJ262230 TLF262228:TLF262230 TVB262228:TVB262230 UEX262228:UEX262230 UOT262228:UOT262230 UYP262228:UYP262230 VIL262228:VIL262230 VSH262228:VSH262230 WCD262228:WCD262230 WLZ262228:WLZ262230 WVV262228:WVV262230 N327764:N327766 JJ327764:JJ327766 TF327764:TF327766 ADB327764:ADB327766 AMX327764:AMX327766 AWT327764:AWT327766 BGP327764:BGP327766 BQL327764:BQL327766 CAH327764:CAH327766 CKD327764:CKD327766 CTZ327764:CTZ327766 DDV327764:DDV327766 DNR327764:DNR327766 DXN327764:DXN327766 EHJ327764:EHJ327766 ERF327764:ERF327766 FBB327764:FBB327766 FKX327764:FKX327766 FUT327764:FUT327766 GEP327764:GEP327766 GOL327764:GOL327766 GYH327764:GYH327766 HID327764:HID327766 HRZ327764:HRZ327766 IBV327764:IBV327766 ILR327764:ILR327766 IVN327764:IVN327766 JFJ327764:JFJ327766 JPF327764:JPF327766 JZB327764:JZB327766 KIX327764:KIX327766 KST327764:KST327766 LCP327764:LCP327766 LML327764:LML327766 LWH327764:LWH327766 MGD327764:MGD327766 MPZ327764:MPZ327766 MZV327764:MZV327766 NJR327764:NJR327766 NTN327764:NTN327766 ODJ327764:ODJ327766 ONF327764:ONF327766 OXB327764:OXB327766 PGX327764:PGX327766 PQT327764:PQT327766 QAP327764:QAP327766 QKL327764:QKL327766 QUH327764:QUH327766 RED327764:RED327766 RNZ327764:RNZ327766 RXV327764:RXV327766 SHR327764:SHR327766 SRN327764:SRN327766 TBJ327764:TBJ327766 TLF327764:TLF327766 TVB327764:TVB327766 UEX327764:UEX327766 UOT327764:UOT327766 UYP327764:UYP327766 VIL327764:VIL327766 VSH327764:VSH327766 WCD327764:WCD327766 WLZ327764:WLZ327766 WVV327764:WVV327766 N393300:N393302 JJ393300:JJ393302 TF393300:TF393302 ADB393300:ADB393302 AMX393300:AMX393302 AWT393300:AWT393302 BGP393300:BGP393302 BQL393300:BQL393302 CAH393300:CAH393302 CKD393300:CKD393302 CTZ393300:CTZ393302 DDV393300:DDV393302 DNR393300:DNR393302 DXN393300:DXN393302 EHJ393300:EHJ393302 ERF393300:ERF393302 FBB393300:FBB393302 FKX393300:FKX393302 FUT393300:FUT393302 GEP393300:GEP393302 GOL393300:GOL393302 GYH393300:GYH393302 HID393300:HID393302 HRZ393300:HRZ393302 IBV393300:IBV393302 ILR393300:ILR393302 IVN393300:IVN393302 JFJ393300:JFJ393302 JPF393300:JPF393302 JZB393300:JZB393302 KIX393300:KIX393302 KST393300:KST393302 LCP393300:LCP393302 LML393300:LML393302 LWH393300:LWH393302 MGD393300:MGD393302 MPZ393300:MPZ393302 MZV393300:MZV393302 NJR393300:NJR393302 NTN393300:NTN393302 ODJ393300:ODJ393302 ONF393300:ONF393302 OXB393300:OXB393302 PGX393300:PGX393302 PQT393300:PQT393302 QAP393300:QAP393302 QKL393300:QKL393302 QUH393300:QUH393302 RED393300:RED393302 RNZ393300:RNZ393302 RXV393300:RXV393302 SHR393300:SHR393302 SRN393300:SRN393302 TBJ393300:TBJ393302 TLF393300:TLF393302 TVB393300:TVB393302 UEX393300:UEX393302 UOT393300:UOT393302 UYP393300:UYP393302 VIL393300:VIL393302 VSH393300:VSH393302 WCD393300:WCD393302 WLZ393300:WLZ393302 WVV393300:WVV393302 N458836:N458838 JJ458836:JJ458838 TF458836:TF458838 ADB458836:ADB458838 AMX458836:AMX458838 AWT458836:AWT458838 BGP458836:BGP458838 BQL458836:BQL458838 CAH458836:CAH458838 CKD458836:CKD458838 CTZ458836:CTZ458838 DDV458836:DDV458838 DNR458836:DNR458838 DXN458836:DXN458838 EHJ458836:EHJ458838 ERF458836:ERF458838 FBB458836:FBB458838 FKX458836:FKX458838 FUT458836:FUT458838 GEP458836:GEP458838 GOL458836:GOL458838 GYH458836:GYH458838 HID458836:HID458838 HRZ458836:HRZ458838 IBV458836:IBV458838 ILR458836:ILR458838 IVN458836:IVN458838 JFJ458836:JFJ458838 JPF458836:JPF458838 JZB458836:JZB458838 KIX458836:KIX458838 KST458836:KST458838 LCP458836:LCP458838 LML458836:LML458838 LWH458836:LWH458838 MGD458836:MGD458838 MPZ458836:MPZ458838 MZV458836:MZV458838 NJR458836:NJR458838 NTN458836:NTN458838 ODJ458836:ODJ458838 ONF458836:ONF458838 OXB458836:OXB458838 PGX458836:PGX458838 PQT458836:PQT458838 QAP458836:QAP458838 QKL458836:QKL458838 QUH458836:QUH458838 RED458836:RED458838 RNZ458836:RNZ458838 RXV458836:RXV458838 SHR458836:SHR458838 SRN458836:SRN458838 TBJ458836:TBJ458838 TLF458836:TLF458838 TVB458836:TVB458838 UEX458836:UEX458838 UOT458836:UOT458838 UYP458836:UYP458838 VIL458836:VIL458838 VSH458836:VSH458838 WCD458836:WCD458838 WLZ458836:WLZ458838 WVV458836:WVV458838 N524372:N524374 JJ524372:JJ524374 TF524372:TF524374 ADB524372:ADB524374 AMX524372:AMX524374 AWT524372:AWT524374 BGP524372:BGP524374 BQL524372:BQL524374 CAH524372:CAH524374 CKD524372:CKD524374 CTZ524372:CTZ524374 DDV524372:DDV524374 DNR524372:DNR524374 DXN524372:DXN524374 EHJ524372:EHJ524374 ERF524372:ERF524374 FBB524372:FBB524374 FKX524372:FKX524374 FUT524372:FUT524374 GEP524372:GEP524374 GOL524372:GOL524374 GYH524372:GYH524374 HID524372:HID524374 HRZ524372:HRZ524374 IBV524372:IBV524374 ILR524372:ILR524374 IVN524372:IVN524374 JFJ524372:JFJ524374 JPF524372:JPF524374 JZB524372:JZB524374 KIX524372:KIX524374 KST524372:KST524374 LCP524372:LCP524374 LML524372:LML524374 LWH524372:LWH524374 MGD524372:MGD524374 MPZ524372:MPZ524374 MZV524372:MZV524374 NJR524372:NJR524374 NTN524372:NTN524374 ODJ524372:ODJ524374 ONF524372:ONF524374 OXB524372:OXB524374 PGX524372:PGX524374 PQT524372:PQT524374 QAP524372:QAP524374 QKL524372:QKL524374 QUH524372:QUH524374 RED524372:RED524374 RNZ524372:RNZ524374 RXV524372:RXV524374 SHR524372:SHR524374 SRN524372:SRN524374 TBJ524372:TBJ524374 TLF524372:TLF524374 TVB524372:TVB524374 UEX524372:UEX524374 UOT524372:UOT524374 UYP524372:UYP524374 VIL524372:VIL524374 VSH524372:VSH524374 WCD524372:WCD524374 WLZ524372:WLZ524374 WVV524372:WVV524374 N589908:N589910 JJ589908:JJ589910 TF589908:TF589910 ADB589908:ADB589910 AMX589908:AMX589910 AWT589908:AWT589910 BGP589908:BGP589910 BQL589908:BQL589910 CAH589908:CAH589910 CKD589908:CKD589910 CTZ589908:CTZ589910 DDV589908:DDV589910 DNR589908:DNR589910 DXN589908:DXN589910 EHJ589908:EHJ589910 ERF589908:ERF589910 FBB589908:FBB589910 FKX589908:FKX589910 FUT589908:FUT589910 GEP589908:GEP589910 GOL589908:GOL589910 GYH589908:GYH589910 HID589908:HID589910 HRZ589908:HRZ589910 IBV589908:IBV589910 ILR589908:ILR589910 IVN589908:IVN589910 JFJ589908:JFJ589910 JPF589908:JPF589910 JZB589908:JZB589910 KIX589908:KIX589910 KST589908:KST589910 LCP589908:LCP589910 LML589908:LML589910 LWH589908:LWH589910 MGD589908:MGD589910 MPZ589908:MPZ589910 MZV589908:MZV589910 NJR589908:NJR589910 NTN589908:NTN589910 ODJ589908:ODJ589910 ONF589908:ONF589910 OXB589908:OXB589910 PGX589908:PGX589910 PQT589908:PQT589910 QAP589908:QAP589910 QKL589908:QKL589910 QUH589908:QUH589910 RED589908:RED589910 RNZ589908:RNZ589910 RXV589908:RXV589910 SHR589908:SHR589910 SRN589908:SRN589910 TBJ589908:TBJ589910 TLF589908:TLF589910 TVB589908:TVB589910 UEX589908:UEX589910 UOT589908:UOT589910 UYP589908:UYP589910 VIL589908:VIL589910 VSH589908:VSH589910 WCD589908:WCD589910 WLZ589908:WLZ589910 WVV589908:WVV589910 N655444:N655446 JJ655444:JJ655446 TF655444:TF655446 ADB655444:ADB655446 AMX655444:AMX655446 AWT655444:AWT655446 BGP655444:BGP655446 BQL655444:BQL655446 CAH655444:CAH655446 CKD655444:CKD655446 CTZ655444:CTZ655446 DDV655444:DDV655446 DNR655444:DNR655446 DXN655444:DXN655446 EHJ655444:EHJ655446 ERF655444:ERF655446 FBB655444:FBB655446 FKX655444:FKX655446 FUT655444:FUT655446 GEP655444:GEP655446 GOL655444:GOL655446 GYH655444:GYH655446 HID655444:HID655446 HRZ655444:HRZ655446 IBV655444:IBV655446 ILR655444:ILR655446 IVN655444:IVN655446 JFJ655444:JFJ655446 JPF655444:JPF655446 JZB655444:JZB655446 KIX655444:KIX655446 KST655444:KST655446 LCP655444:LCP655446 LML655444:LML655446 LWH655444:LWH655446 MGD655444:MGD655446 MPZ655444:MPZ655446 MZV655444:MZV655446 NJR655444:NJR655446 NTN655444:NTN655446 ODJ655444:ODJ655446 ONF655444:ONF655446 OXB655444:OXB655446 PGX655444:PGX655446 PQT655444:PQT655446 QAP655444:QAP655446 QKL655444:QKL655446 QUH655444:QUH655446 RED655444:RED655446 RNZ655444:RNZ655446 RXV655444:RXV655446 SHR655444:SHR655446 SRN655444:SRN655446 TBJ655444:TBJ655446 TLF655444:TLF655446 TVB655444:TVB655446 UEX655444:UEX655446 UOT655444:UOT655446 UYP655444:UYP655446 VIL655444:VIL655446 VSH655444:VSH655446 WCD655444:WCD655446 WLZ655444:WLZ655446 WVV655444:WVV655446 N720980:N720982 JJ720980:JJ720982 TF720980:TF720982 ADB720980:ADB720982 AMX720980:AMX720982 AWT720980:AWT720982 BGP720980:BGP720982 BQL720980:BQL720982 CAH720980:CAH720982 CKD720980:CKD720982 CTZ720980:CTZ720982 DDV720980:DDV720982 DNR720980:DNR720982 DXN720980:DXN720982 EHJ720980:EHJ720982 ERF720980:ERF720982 FBB720980:FBB720982 FKX720980:FKX720982 FUT720980:FUT720982 GEP720980:GEP720982 GOL720980:GOL720982 GYH720980:GYH720982 HID720980:HID720982 HRZ720980:HRZ720982 IBV720980:IBV720982 ILR720980:ILR720982 IVN720980:IVN720982 JFJ720980:JFJ720982 JPF720980:JPF720982 JZB720980:JZB720982 KIX720980:KIX720982 KST720980:KST720982 LCP720980:LCP720982 LML720980:LML720982 LWH720980:LWH720982 MGD720980:MGD720982 MPZ720980:MPZ720982 MZV720980:MZV720982 NJR720980:NJR720982 NTN720980:NTN720982 ODJ720980:ODJ720982 ONF720980:ONF720982 OXB720980:OXB720982 PGX720980:PGX720982 PQT720980:PQT720982 QAP720980:QAP720982 QKL720980:QKL720982 QUH720980:QUH720982 RED720980:RED720982 RNZ720980:RNZ720982 RXV720980:RXV720982 SHR720980:SHR720982 SRN720980:SRN720982 TBJ720980:TBJ720982 TLF720980:TLF720982 TVB720980:TVB720982 UEX720980:UEX720982 UOT720980:UOT720982 UYP720980:UYP720982 VIL720980:VIL720982 VSH720980:VSH720982 WCD720980:WCD720982 WLZ720980:WLZ720982 WVV720980:WVV720982 N786516:N786518 JJ786516:JJ786518 TF786516:TF786518 ADB786516:ADB786518 AMX786516:AMX786518 AWT786516:AWT786518 BGP786516:BGP786518 BQL786516:BQL786518 CAH786516:CAH786518 CKD786516:CKD786518 CTZ786516:CTZ786518 DDV786516:DDV786518 DNR786516:DNR786518 DXN786516:DXN786518 EHJ786516:EHJ786518 ERF786516:ERF786518 FBB786516:FBB786518 FKX786516:FKX786518 FUT786516:FUT786518 GEP786516:GEP786518 GOL786516:GOL786518 GYH786516:GYH786518 HID786516:HID786518 HRZ786516:HRZ786518 IBV786516:IBV786518 ILR786516:ILR786518 IVN786516:IVN786518 JFJ786516:JFJ786518 JPF786516:JPF786518 JZB786516:JZB786518 KIX786516:KIX786518 KST786516:KST786518 LCP786516:LCP786518 LML786516:LML786518 LWH786516:LWH786518 MGD786516:MGD786518 MPZ786516:MPZ786518 MZV786516:MZV786518 NJR786516:NJR786518 NTN786516:NTN786518 ODJ786516:ODJ786518 ONF786516:ONF786518 OXB786516:OXB786518 PGX786516:PGX786518 PQT786516:PQT786518 QAP786516:QAP786518 QKL786516:QKL786518 QUH786516:QUH786518 RED786516:RED786518 RNZ786516:RNZ786518 RXV786516:RXV786518 SHR786516:SHR786518 SRN786516:SRN786518 TBJ786516:TBJ786518 TLF786516:TLF786518 TVB786516:TVB786518 UEX786516:UEX786518 UOT786516:UOT786518 UYP786516:UYP786518 VIL786516:VIL786518 VSH786516:VSH786518 WCD786516:WCD786518 WLZ786516:WLZ786518 WVV786516:WVV786518 N852052:N852054 JJ852052:JJ852054 TF852052:TF852054 ADB852052:ADB852054 AMX852052:AMX852054 AWT852052:AWT852054 BGP852052:BGP852054 BQL852052:BQL852054 CAH852052:CAH852054 CKD852052:CKD852054 CTZ852052:CTZ852054 DDV852052:DDV852054 DNR852052:DNR852054 DXN852052:DXN852054 EHJ852052:EHJ852054 ERF852052:ERF852054 FBB852052:FBB852054 FKX852052:FKX852054 FUT852052:FUT852054 GEP852052:GEP852054 GOL852052:GOL852054 GYH852052:GYH852054 HID852052:HID852054 HRZ852052:HRZ852054 IBV852052:IBV852054 ILR852052:ILR852054 IVN852052:IVN852054 JFJ852052:JFJ852054 JPF852052:JPF852054 JZB852052:JZB852054 KIX852052:KIX852054 KST852052:KST852054 LCP852052:LCP852054 LML852052:LML852054 LWH852052:LWH852054 MGD852052:MGD852054 MPZ852052:MPZ852054 MZV852052:MZV852054 NJR852052:NJR852054 NTN852052:NTN852054 ODJ852052:ODJ852054 ONF852052:ONF852054 OXB852052:OXB852054 PGX852052:PGX852054 PQT852052:PQT852054 QAP852052:QAP852054 QKL852052:QKL852054 QUH852052:QUH852054 RED852052:RED852054 RNZ852052:RNZ852054 RXV852052:RXV852054 SHR852052:SHR852054 SRN852052:SRN852054 TBJ852052:TBJ852054 TLF852052:TLF852054 TVB852052:TVB852054 UEX852052:UEX852054 UOT852052:UOT852054 UYP852052:UYP852054 VIL852052:VIL852054 VSH852052:VSH852054 WCD852052:WCD852054 WLZ852052:WLZ852054 WVV852052:WVV852054 N917588:N917590 JJ917588:JJ917590 TF917588:TF917590 ADB917588:ADB917590 AMX917588:AMX917590 AWT917588:AWT917590 BGP917588:BGP917590 BQL917588:BQL917590 CAH917588:CAH917590 CKD917588:CKD917590 CTZ917588:CTZ917590 DDV917588:DDV917590 DNR917588:DNR917590 DXN917588:DXN917590 EHJ917588:EHJ917590 ERF917588:ERF917590 FBB917588:FBB917590 FKX917588:FKX917590 FUT917588:FUT917590 GEP917588:GEP917590 GOL917588:GOL917590 GYH917588:GYH917590 HID917588:HID917590 HRZ917588:HRZ917590 IBV917588:IBV917590 ILR917588:ILR917590 IVN917588:IVN917590 JFJ917588:JFJ917590 JPF917588:JPF917590 JZB917588:JZB917590 KIX917588:KIX917590 KST917588:KST917590 LCP917588:LCP917590 LML917588:LML917590 LWH917588:LWH917590 MGD917588:MGD917590 MPZ917588:MPZ917590 MZV917588:MZV917590 NJR917588:NJR917590 NTN917588:NTN917590 ODJ917588:ODJ917590 ONF917588:ONF917590 OXB917588:OXB917590 PGX917588:PGX917590 PQT917588:PQT917590 QAP917588:QAP917590 QKL917588:QKL917590 QUH917588:QUH917590 RED917588:RED917590 RNZ917588:RNZ917590 RXV917588:RXV917590 SHR917588:SHR917590 SRN917588:SRN917590 TBJ917588:TBJ917590 TLF917588:TLF917590 TVB917588:TVB917590 UEX917588:UEX917590 UOT917588:UOT917590 UYP917588:UYP917590 VIL917588:VIL917590 VSH917588:VSH917590 WCD917588:WCD917590 WLZ917588:WLZ917590 WVV917588:WVV917590 N983124:N983126 JJ983124:JJ983126 TF983124:TF983126 ADB983124:ADB983126 AMX983124:AMX983126 AWT983124:AWT983126 BGP983124:BGP983126 BQL983124:BQL983126 CAH983124:CAH983126 CKD983124:CKD983126 CTZ983124:CTZ983126 DDV983124:DDV983126 DNR983124:DNR983126 DXN983124:DXN983126 EHJ983124:EHJ983126 ERF983124:ERF983126 FBB983124:FBB983126 FKX983124:FKX983126 FUT983124:FUT983126 GEP983124:GEP983126 GOL983124:GOL983126 GYH983124:GYH983126 HID983124:HID983126 HRZ983124:HRZ983126 IBV983124:IBV983126 ILR983124:ILR983126 IVN983124:IVN983126 JFJ983124:JFJ983126 JPF983124:JPF983126 JZB983124:JZB983126 KIX983124:KIX983126 KST983124:KST983126 LCP983124:LCP983126 LML983124:LML983126 LWH983124:LWH983126 MGD983124:MGD983126 MPZ983124:MPZ983126 MZV983124:MZV983126 NJR983124:NJR983126 NTN983124:NTN983126 ODJ983124:ODJ983126 ONF983124:ONF983126 OXB983124:OXB983126 PGX983124:PGX983126 PQT983124:PQT983126 QAP983124:QAP983126 QKL983124:QKL983126 QUH983124:QUH983126 RED983124:RED983126 RNZ983124:RNZ983126 RXV983124:RXV983126 SHR983124:SHR983126 SRN983124:SRN983126 TBJ983124:TBJ983126 TLF983124:TLF983126 TVB983124:TVB983126 UEX983124:UEX983126 UOT983124:UOT983126 UYP983124:UYP983126 VIL983124:VIL983126 VSH983124:VSH983126 WCD983124:WCD983126 WLZ983124:WLZ983126 WVV983124:WVV983126 WLZ983088:WLZ983090 JJ65:JJ66 TF65:TF66 ADB65:ADB66 AMX65:AMX66 AWT65:AWT66 BGP65:BGP66 BQL65:BQL66 CAH65:CAH66 CKD65:CKD66 CTZ65:CTZ66 DDV65:DDV66 DNR65:DNR66 DXN65:DXN66 EHJ65:EHJ66 ERF65:ERF66 FBB65:FBB66 FKX65:FKX66 FUT65:FUT66 GEP65:GEP66 GOL65:GOL66 GYH65:GYH66 HID65:HID66 HRZ65:HRZ66 IBV65:IBV66 ILR65:ILR66 IVN65:IVN66 JFJ65:JFJ66 JPF65:JPF66 JZB65:JZB66 KIX65:KIX66 KST65:KST66 LCP65:LCP66 LML65:LML66 LWH65:LWH66 MGD65:MGD66 MPZ65:MPZ66 MZV65:MZV66 NJR65:NJR66 NTN65:NTN66 ODJ65:ODJ66 ONF65:ONF66 OXB65:OXB66 PGX65:PGX66 PQT65:PQT66 QAP65:QAP66 QKL65:QKL66 QUH65:QUH66 RED65:RED66 RNZ65:RNZ66 RXV65:RXV66 SHR65:SHR66 SRN65:SRN66 TBJ65:TBJ66 TLF65:TLF66 TVB65:TVB66 UEX65:UEX66 UOT65:UOT66 UYP65:UYP66 VIL65:VIL66 VSH65:VSH66 WCD65:WCD66 WLZ65:WLZ66 WVV65:WVV66 N65603:N65604 JJ65603:JJ65604 TF65603:TF65604 ADB65603:ADB65604 AMX65603:AMX65604 AWT65603:AWT65604 BGP65603:BGP65604 BQL65603:BQL65604 CAH65603:CAH65604 CKD65603:CKD65604 CTZ65603:CTZ65604 DDV65603:DDV65604 DNR65603:DNR65604 DXN65603:DXN65604 EHJ65603:EHJ65604 ERF65603:ERF65604 FBB65603:FBB65604 FKX65603:FKX65604 FUT65603:FUT65604 GEP65603:GEP65604 GOL65603:GOL65604 GYH65603:GYH65604 HID65603:HID65604 HRZ65603:HRZ65604 IBV65603:IBV65604 ILR65603:ILR65604 IVN65603:IVN65604 JFJ65603:JFJ65604 JPF65603:JPF65604 JZB65603:JZB65604 KIX65603:KIX65604 KST65603:KST65604 LCP65603:LCP65604 LML65603:LML65604 LWH65603:LWH65604 MGD65603:MGD65604 MPZ65603:MPZ65604 MZV65603:MZV65604 NJR65603:NJR65604 NTN65603:NTN65604 ODJ65603:ODJ65604 ONF65603:ONF65604 OXB65603:OXB65604 PGX65603:PGX65604 PQT65603:PQT65604 QAP65603:QAP65604 QKL65603:QKL65604 QUH65603:QUH65604 RED65603:RED65604 RNZ65603:RNZ65604 RXV65603:RXV65604 SHR65603:SHR65604 SRN65603:SRN65604 TBJ65603:TBJ65604 TLF65603:TLF65604 TVB65603:TVB65604 UEX65603:UEX65604 UOT65603:UOT65604 UYP65603:UYP65604 VIL65603:VIL65604 VSH65603:VSH65604 WCD65603:WCD65604 WLZ65603:WLZ65604 WVV65603:WVV65604 N131139:N131140 JJ131139:JJ131140 TF131139:TF131140 ADB131139:ADB131140 AMX131139:AMX131140 AWT131139:AWT131140 BGP131139:BGP131140 BQL131139:BQL131140 CAH131139:CAH131140 CKD131139:CKD131140 CTZ131139:CTZ131140 DDV131139:DDV131140 DNR131139:DNR131140 DXN131139:DXN131140 EHJ131139:EHJ131140 ERF131139:ERF131140 FBB131139:FBB131140 FKX131139:FKX131140 FUT131139:FUT131140 GEP131139:GEP131140 GOL131139:GOL131140 GYH131139:GYH131140 HID131139:HID131140 HRZ131139:HRZ131140 IBV131139:IBV131140 ILR131139:ILR131140 IVN131139:IVN131140 JFJ131139:JFJ131140 JPF131139:JPF131140 JZB131139:JZB131140 KIX131139:KIX131140 KST131139:KST131140 LCP131139:LCP131140 LML131139:LML131140 LWH131139:LWH131140 MGD131139:MGD131140 MPZ131139:MPZ131140 MZV131139:MZV131140 NJR131139:NJR131140 NTN131139:NTN131140 ODJ131139:ODJ131140 ONF131139:ONF131140 OXB131139:OXB131140 PGX131139:PGX131140 PQT131139:PQT131140 QAP131139:QAP131140 QKL131139:QKL131140 QUH131139:QUH131140 RED131139:RED131140 RNZ131139:RNZ131140 RXV131139:RXV131140 SHR131139:SHR131140 SRN131139:SRN131140 TBJ131139:TBJ131140 TLF131139:TLF131140 TVB131139:TVB131140 UEX131139:UEX131140 UOT131139:UOT131140 UYP131139:UYP131140 VIL131139:VIL131140 VSH131139:VSH131140 WCD131139:WCD131140 WLZ131139:WLZ131140 WVV131139:WVV131140 N196675:N196676 JJ196675:JJ196676 TF196675:TF196676 ADB196675:ADB196676 AMX196675:AMX196676 AWT196675:AWT196676 BGP196675:BGP196676 BQL196675:BQL196676 CAH196675:CAH196676 CKD196675:CKD196676 CTZ196675:CTZ196676 DDV196675:DDV196676 DNR196675:DNR196676 DXN196675:DXN196676 EHJ196675:EHJ196676 ERF196675:ERF196676 FBB196675:FBB196676 FKX196675:FKX196676 FUT196675:FUT196676 GEP196675:GEP196676 GOL196675:GOL196676 GYH196675:GYH196676 HID196675:HID196676 HRZ196675:HRZ196676 IBV196675:IBV196676 ILR196675:ILR196676 IVN196675:IVN196676 JFJ196675:JFJ196676 JPF196675:JPF196676 JZB196675:JZB196676 KIX196675:KIX196676 KST196675:KST196676 LCP196675:LCP196676 LML196675:LML196676 LWH196675:LWH196676 MGD196675:MGD196676 MPZ196675:MPZ196676 MZV196675:MZV196676 NJR196675:NJR196676 NTN196675:NTN196676 ODJ196675:ODJ196676 ONF196675:ONF196676 OXB196675:OXB196676 PGX196675:PGX196676 PQT196675:PQT196676 QAP196675:QAP196676 QKL196675:QKL196676 QUH196675:QUH196676 RED196675:RED196676 RNZ196675:RNZ196676 RXV196675:RXV196676 SHR196675:SHR196676 SRN196675:SRN196676 TBJ196675:TBJ196676 TLF196675:TLF196676 TVB196675:TVB196676 UEX196675:UEX196676 UOT196675:UOT196676 UYP196675:UYP196676 VIL196675:VIL196676 VSH196675:VSH196676 WCD196675:WCD196676 WLZ196675:WLZ196676 WVV196675:WVV196676 N262211:N262212 JJ262211:JJ262212 TF262211:TF262212 ADB262211:ADB262212 AMX262211:AMX262212 AWT262211:AWT262212 BGP262211:BGP262212 BQL262211:BQL262212 CAH262211:CAH262212 CKD262211:CKD262212 CTZ262211:CTZ262212 DDV262211:DDV262212 DNR262211:DNR262212 DXN262211:DXN262212 EHJ262211:EHJ262212 ERF262211:ERF262212 FBB262211:FBB262212 FKX262211:FKX262212 FUT262211:FUT262212 GEP262211:GEP262212 GOL262211:GOL262212 GYH262211:GYH262212 HID262211:HID262212 HRZ262211:HRZ262212 IBV262211:IBV262212 ILR262211:ILR262212 IVN262211:IVN262212 JFJ262211:JFJ262212 JPF262211:JPF262212 JZB262211:JZB262212 KIX262211:KIX262212 KST262211:KST262212 LCP262211:LCP262212 LML262211:LML262212 LWH262211:LWH262212 MGD262211:MGD262212 MPZ262211:MPZ262212 MZV262211:MZV262212 NJR262211:NJR262212 NTN262211:NTN262212 ODJ262211:ODJ262212 ONF262211:ONF262212 OXB262211:OXB262212 PGX262211:PGX262212 PQT262211:PQT262212 QAP262211:QAP262212 QKL262211:QKL262212 QUH262211:QUH262212 RED262211:RED262212 RNZ262211:RNZ262212 RXV262211:RXV262212 SHR262211:SHR262212 SRN262211:SRN262212 TBJ262211:TBJ262212 TLF262211:TLF262212 TVB262211:TVB262212 UEX262211:UEX262212 UOT262211:UOT262212 UYP262211:UYP262212 VIL262211:VIL262212 VSH262211:VSH262212 WCD262211:WCD262212 WLZ262211:WLZ262212 WVV262211:WVV262212 N327747:N327748 JJ327747:JJ327748 TF327747:TF327748 ADB327747:ADB327748 AMX327747:AMX327748 AWT327747:AWT327748 BGP327747:BGP327748 BQL327747:BQL327748 CAH327747:CAH327748 CKD327747:CKD327748 CTZ327747:CTZ327748 DDV327747:DDV327748 DNR327747:DNR327748 DXN327747:DXN327748 EHJ327747:EHJ327748 ERF327747:ERF327748 FBB327747:FBB327748 FKX327747:FKX327748 FUT327747:FUT327748 GEP327747:GEP327748 GOL327747:GOL327748 GYH327747:GYH327748 HID327747:HID327748 HRZ327747:HRZ327748 IBV327747:IBV327748 ILR327747:ILR327748 IVN327747:IVN327748 JFJ327747:JFJ327748 JPF327747:JPF327748 JZB327747:JZB327748 KIX327747:KIX327748 KST327747:KST327748 LCP327747:LCP327748 LML327747:LML327748 LWH327747:LWH327748 MGD327747:MGD327748 MPZ327747:MPZ327748 MZV327747:MZV327748 NJR327747:NJR327748 NTN327747:NTN327748 ODJ327747:ODJ327748 ONF327747:ONF327748 OXB327747:OXB327748 PGX327747:PGX327748 PQT327747:PQT327748 QAP327747:QAP327748 QKL327747:QKL327748 QUH327747:QUH327748 RED327747:RED327748 RNZ327747:RNZ327748 RXV327747:RXV327748 SHR327747:SHR327748 SRN327747:SRN327748 TBJ327747:TBJ327748 TLF327747:TLF327748 TVB327747:TVB327748 UEX327747:UEX327748 UOT327747:UOT327748 UYP327747:UYP327748 VIL327747:VIL327748 VSH327747:VSH327748 WCD327747:WCD327748 WLZ327747:WLZ327748 WVV327747:WVV327748 N393283:N393284 JJ393283:JJ393284 TF393283:TF393284 ADB393283:ADB393284 AMX393283:AMX393284 AWT393283:AWT393284 BGP393283:BGP393284 BQL393283:BQL393284 CAH393283:CAH393284 CKD393283:CKD393284 CTZ393283:CTZ393284 DDV393283:DDV393284 DNR393283:DNR393284 DXN393283:DXN393284 EHJ393283:EHJ393284 ERF393283:ERF393284 FBB393283:FBB393284 FKX393283:FKX393284 FUT393283:FUT393284 GEP393283:GEP393284 GOL393283:GOL393284 GYH393283:GYH393284 HID393283:HID393284 HRZ393283:HRZ393284 IBV393283:IBV393284 ILR393283:ILR393284 IVN393283:IVN393284 JFJ393283:JFJ393284 JPF393283:JPF393284 JZB393283:JZB393284 KIX393283:KIX393284 KST393283:KST393284 LCP393283:LCP393284 LML393283:LML393284 LWH393283:LWH393284 MGD393283:MGD393284 MPZ393283:MPZ393284 MZV393283:MZV393284 NJR393283:NJR393284 NTN393283:NTN393284 ODJ393283:ODJ393284 ONF393283:ONF393284 OXB393283:OXB393284 PGX393283:PGX393284 PQT393283:PQT393284 QAP393283:QAP393284 QKL393283:QKL393284 QUH393283:QUH393284 RED393283:RED393284 RNZ393283:RNZ393284 RXV393283:RXV393284 SHR393283:SHR393284 SRN393283:SRN393284 TBJ393283:TBJ393284 TLF393283:TLF393284 TVB393283:TVB393284 UEX393283:UEX393284 UOT393283:UOT393284 UYP393283:UYP393284 VIL393283:VIL393284 VSH393283:VSH393284 WCD393283:WCD393284 WLZ393283:WLZ393284 WVV393283:WVV393284 N458819:N458820 JJ458819:JJ458820 TF458819:TF458820 ADB458819:ADB458820 AMX458819:AMX458820 AWT458819:AWT458820 BGP458819:BGP458820 BQL458819:BQL458820 CAH458819:CAH458820 CKD458819:CKD458820 CTZ458819:CTZ458820 DDV458819:DDV458820 DNR458819:DNR458820 DXN458819:DXN458820 EHJ458819:EHJ458820 ERF458819:ERF458820 FBB458819:FBB458820 FKX458819:FKX458820 FUT458819:FUT458820 GEP458819:GEP458820 GOL458819:GOL458820 GYH458819:GYH458820 HID458819:HID458820 HRZ458819:HRZ458820 IBV458819:IBV458820 ILR458819:ILR458820 IVN458819:IVN458820 JFJ458819:JFJ458820 JPF458819:JPF458820 JZB458819:JZB458820 KIX458819:KIX458820 KST458819:KST458820 LCP458819:LCP458820 LML458819:LML458820 LWH458819:LWH458820 MGD458819:MGD458820 MPZ458819:MPZ458820 MZV458819:MZV458820 NJR458819:NJR458820 NTN458819:NTN458820 ODJ458819:ODJ458820 ONF458819:ONF458820 OXB458819:OXB458820 PGX458819:PGX458820 PQT458819:PQT458820 QAP458819:QAP458820 QKL458819:QKL458820 QUH458819:QUH458820 RED458819:RED458820 RNZ458819:RNZ458820 RXV458819:RXV458820 SHR458819:SHR458820 SRN458819:SRN458820 TBJ458819:TBJ458820 TLF458819:TLF458820 TVB458819:TVB458820 UEX458819:UEX458820 UOT458819:UOT458820 UYP458819:UYP458820 VIL458819:VIL458820 VSH458819:VSH458820 WCD458819:WCD458820 WLZ458819:WLZ458820 WVV458819:WVV458820 N524355:N524356 JJ524355:JJ524356 TF524355:TF524356 ADB524355:ADB524356 AMX524355:AMX524356 AWT524355:AWT524356 BGP524355:BGP524356 BQL524355:BQL524356 CAH524355:CAH524356 CKD524355:CKD524356 CTZ524355:CTZ524356 DDV524355:DDV524356 DNR524355:DNR524356 DXN524355:DXN524356 EHJ524355:EHJ524356 ERF524355:ERF524356 FBB524355:FBB524356 FKX524355:FKX524356 FUT524355:FUT524356 GEP524355:GEP524356 GOL524355:GOL524356 GYH524355:GYH524356 HID524355:HID524356 HRZ524355:HRZ524356 IBV524355:IBV524356 ILR524355:ILR524356 IVN524355:IVN524356 JFJ524355:JFJ524356 JPF524355:JPF524356 JZB524355:JZB524356 KIX524355:KIX524356 KST524355:KST524356 LCP524355:LCP524356 LML524355:LML524356 LWH524355:LWH524356 MGD524355:MGD524356 MPZ524355:MPZ524356 MZV524355:MZV524356 NJR524355:NJR524356 NTN524355:NTN524356 ODJ524355:ODJ524356 ONF524355:ONF524356 OXB524355:OXB524356 PGX524355:PGX524356 PQT524355:PQT524356 QAP524355:QAP524356 QKL524355:QKL524356 QUH524355:QUH524356 RED524355:RED524356 RNZ524355:RNZ524356 RXV524355:RXV524356 SHR524355:SHR524356 SRN524355:SRN524356 TBJ524355:TBJ524356 TLF524355:TLF524356 TVB524355:TVB524356 UEX524355:UEX524356 UOT524355:UOT524356 UYP524355:UYP524356 VIL524355:VIL524356 VSH524355:VSH524356 WCD524355:WCD524356 WLZ524355:WLZ524356 WVV524355:WVV524356 N589891:N589892 JJ589891:JJ589892 TF589891:TF589892 ADB589891:ADB589892 AMX589891:AMX589892 AWT589891:AWT589892 BGP589891:BGP589892 BQL589891:BQL589892 CAH589891:CAH589892 CKD589891:CKD589892 CTZ589891:CTZ589892 DDV589891:DDV589892 DNR589891:DNR589892 DXN589891:DXN589892 EHJ589891:EHJ589892 ERF589891:ERF589892 FBB589891:FBB589892 FKX589891:FKX589892 FUT589891:FUT589892 GEP589891:GEP589892 GOL589891:GOL589892 GYH589891:GYH589892 HID589891:HID589892 HRZ589891:HRZ589892 IBV589891:IBV589892 ILR589891:ILR589892 IVN589891:IVN589892 JFJ589891:JFJ589892 JPF589891:JPF589892 JZB589891:JZB589892 KIX589891:KIX589892 KST589891:KST589892 LCP589891:LCP589892 LML589891:LML589892 LWH589891:LWH589892 MGD589891:MGD589892 MPZ589891:MPZ589892 MZV589891:MZV589892 NJR589891:NJR589892 NTN589891:NTN589892 ODJ589891:ODJ589892 ONF589891:ONF589892 OXB589891:OXB589892 PGX589891:PGX589892 PQT589891:PQT589892 QAP589891:QAP589892 QKL589891:QKL589892 QUH589891:QUH589892 RED589891:RED589892 RNZ589891:RNZ589892 RXV589891:RXV589892 SHR589891:SHR589892 SRN589891:SRN589892 TBJ589891:TBJ589892 TLF589891:TLF589892 TVB589891:TVB589892 UEX589891:UEX589892 UOT589891:UOT589892 UYP589891:UYP589892 VIL589891:VIL589892 VSH589891:VSH589892 WCD589891:WCD589892 WLZ589891:WLZ589892 WVV589891:WVV589892 N655427:N655428 JJ655427:JJ655428 TF655427:TF655428 ADB655427:ADB655428 AMX655427:AMX655428 AWT655427:AWT655428 BGP655427:BGP655428 BQL655427:BQL655428 CAH655427:CAH655428 CKD655427:CKD655428 CTZ655427:CTZ655428 DDV655427:DDV655428 DNR655427:DNR655428 DXN655427:DXN655428 EHJ655427:EHJ655428 ERF655427:ERF655428 FBB655427:FBB655428 FKX655427:FKX655428 FUT655427:FUT655428 GEP655427:GEP655428 GOL655427:GOL655428 GYH655427:GYH655428 HID655427:HID655428 HRZ655427:HRZ655428 IBV655427:IBV655428 ILR655427:ILR655428 IVN655427:IVN655428 JFJ655427:JFJ655428 JPF655427:JPF655428 JZB655427:JZB655428 KIX655427:KIX655428 KST655427:KST655428 LCP655427:LCP655428 LML655427:LML655428 LWH655427:LWH655428 MGD655427:MGD655428 MPZ655427:MPZ655428 MZV655427:MZV655428 NJR655427:NJR655428 NTN655427:NTN655428 ODJ655427:ODJ655428 ONF655427:ONF655428 OXB655427:OXB655428 PGX655427:PGX655428 PQT655427:PQT655428 QAP655427:QAP655428 QKL655427:QKL655428 QUH655427:QUH655428 RED655427:RED655428 RNZ655427:RNZ655428 RXV655427:RXV655428 SHR655427:SHR655428 SRN655427:SRN655428 TBJ655427:TBJ655428 TLF655427:TLF655428 TVB655427:TVB655428 UEX655427:UEX655428 UOT655427:UOT655428 UYP655427:UYP655428 VIL655427:VIL655428 VSH655427:VSH655428 WCD655427:WCD655428 WLZ655427:WLZ655428 WVV655427:WVV655428 N720963:N720964 JJ720963:JJ720964 TF720963:TF720964 ADB720963:ADB720964 AMX720963:AMX720964 AWT720963:AWT720964 BGP720963:BGP720964 BQL720963:BQL720964 CAH720963:CAH720964 CKD720963:CKD720964 CTZ720963:CTZ720964 DDV720963:DDV720964 DNR720963:DNR720964 DXN720963:DXN720964 EHJ720963:EHJ720964 ERF720963:ERF720964 FBB720963:FBB720964 FKX720963:FKX720964 FUT720963:FUT720964 GEP720963:GEP720964 GOL720963:GOL720964 GYH720963:GYH720964 HID720963:HID720964 HRZ720963:HRZ720964 IBV720963:IBV720964 ILR720963:ILR720964 IVN720963:IVN720964 JFJ720963:JFJ720964 JPF720963:JPF720964 JZB720963:JZB720964 KIX720963:KIX720964 KST720963:KST720964 LCP720963:LCP720964 LML720963:LML720964 LWH720963:LWH720964 MGD720963:MGD720964 MPZ720963:MPZ720964 MZV720963:MZV720964 NJR720963:NJR720964 NTN720963:NTN720964 ODJ720963:ODJ720964 ONF720963:ONF720964 OXB720963:OXB720964 PGX720963:PGX720964 PQT720963:PQT720964 QAP720963:QAP720964 QKL720963:QKL720964 QUH720963:QUH720964 RED720963:RED720964 RNZ720963:RNZ720964 RXV720963:RXV720964 SHR720963:SHR720964 SRN720963:SRN720964 TBJ720963:TBJ720964 TLF720963:TLF720964 TVB720963:TVB720964 UEX720963:UEX720964 UOT720963:UOT720964 UYP720963:UYP720964 VIL720963:VIL720964 VSH720963:VSH720964 WCD720963:WCD720964 WLZ720963:WLZ720964 WVV720963:WVV720964 N786499:N786500 JJ786499:JJ786500 TF786499:TF786500 ADB786499:ADB786500 AMX786499:AMX786500 AWT786499:AWT786500 BGP786499:BGP786500 BQL786499:BQL786500 CAH786499:CAH786500 CKD786499:CKD786500 CTZ786499:CTZ786500 DDV786499:DDV786500 DNR786499:DNR786500 DXN786499:DXN786500 EHJ786499:EHJ786500 ERF786499:ERF786500 FBB786499:FBB786500 FKX786499:FKX786500 FUT786499:FUT786500 GEP786499:GEP786500 GOL786499:GOL786500 GYH786499:GYH786500 HID786499:HID786500 HRZ786499:HRZ786500 IBV786499:IBV786500 ILR786499:ILR786500 IVN786499:IVN786500 JFJ786499:JFJ786500 JPF786499:JPF786500 JZB786499:JZB786500 KIX786499:KIX786500 KST786499:KST786500 LCP786499:LCP786500 LML786499:LML786500 LWH786499:LWH786500 MGD786499:MGD786500 MPZ786499:MPZ786500 MZV786499:MZV786500 NJR786499:NJR786500 NTN786499:NTN786500 ODJ786499:ODJ786500 ONF786499:ONF786500 OXB786499:OXB786500 PGX786499:PGX786500 PQT786499:PQT786500 QAP786499:QAP786500 QKL786499:QKL786500 QUH786499:QUH786500 RED786499:RED786500 RNZ786499:RNZ786500 RXV786499:RXV786500 SHR786499:SHR786500 SRN786499:SRN786500 TBJ786499:TBJ786500 TLF786499:TLF786500 TVB786499:TVB786500 UEX786499:UEX786500 UOT786499:UOT786500 UYP786499:UYP786500 VIL786499:VIL786500 VSH786499:VSH786500 WCD786499:WCD786500 WLZ786499:WLZ786500 WVV786499:WVV786500 N852035:N852036 JJ852035:JJ852036 TF852035:TF852036 ADB852035:ADB852036 AMX852035:AMX852036 AWT852035:AWT852036 BGP852035:BGP852036 BQL852035:BQL852036 CAH852035:CAH852036 CKD852035:CKD852036 CTZ852035:CTZ852036 DDV852035:DDV852036 DNR852035:DNR852036 DXN852035:DXN852036 EHJ852035:EHJ852036 ERF852035:ERF852036 FBB852035:FBB852036 FKX852035:FKX852036 FUT852035:FUT852036 GEP852035:GEP852036 GOL852035:GOL852036 GYH852035:GYH852036 HID852035:HID852036 HRZ852035:HRZ852036 IBV852035:IBV852036 ILR852035:ILR852036 IVN852035:IVN852036 JFJ852035:JFJ852036 JPF852035:JPF852036 JZB852035:JZB852036 KIX852035:KIX852036 KST852035:KST852036 LCP852035:LCP852036 LML852035:LML852036 LWH852035:LWH852036 MGD852035:MGD852036 MPZ852035:MPZ852036 MZV852035:MZV852036 NJR852035:NJR852036 NTN852035:NTN852036 ODJ852035:ODJ852036 ONF852035:ONF852036 OXB852035:OXB852036 PGX852035:PGX852036 PQT852035:PQT852036 QAP852035:QAP852036 QKL852035:QKL852036 QUH852035:QUH852036 RED852035:RED852036 RNZ852035:RNZ852036 RXV852035:RXV852036 SHR852035:SHR852036 SRN852035:SRN852036 TBJ852035:TBJ852036 TLF852035:TLF852036 TVB852035:TVB852036 UEX852035:UEX852036 UOT852035:UOT852036 UYP852035:UYP852036 VIL852035:VIL852036 VSH852035:VSH852036 WCD852035:WCD852036 WLZ852035:WLZ852036 WVV852035:WVV852036 N917571:N917572 JJ917571:JJ917572 TF917571:TF917572 ADB917571:ADB917572 AMX917571:AMX917572 AWT917571:AWT917572 BGP917571:BGP917572 BQL917571:BQL917572 CAH917571:CAH917572 CKD917571:CKD917572 CTZ917571:CTZ917572 DDV917571:DDV917572 DNR917571:DNR917572 DXN917571:DXN917572 EHJ917571:EHJ917572 ERF917571:ERF917572 FBB917571:FBB917572 FKX917571:FKX917572 FUT917571:FUT917572 GEP917571:GEP917572 GOL917571:GOL917572 GYH917571:GYH917572 HID917571:HID917572 HRZ917571:HRZ917572 IBV917571:IBV917572 ILR917571:ILR917572 IVN917571:IVN917572 JFJ917571:JFJ917572 JPF917571:JPF917572 JZB917571:JZB917572 KIX917571:KIX917572 KST917571:KST917572 LCP917571:LCP917572 LML917571:LML917572 LWH917571:LWH917572 MGD917571:MGD917572 MPZ917571:MPZ917572 MZV917571:MZV917572 NJR917571:NJR917572 NTN917571:NTN917572 ODJ917571:ODJ917572 ONF917571:ONF917572 OXB917571:OXB917572 PGX917571:PGX917572 PQT917571:PQT917572 QAP917571:QAP917572 QKL917571:QKL917572 QUH917571:QUH917572 RED917571:RED917572 RNZ917571:RNZ917572 RXV917571:RXV917572 SHR917571:SHR917572 SRN917571:SRN917572 TBJ917571:TBJ917572 TLF917571:TLF917572 TVB917571:TVB917572 UEX917571:UEX917572 UOT917571:UOT917572 UYP917571:UYP917572 VIL917571:VIL917572 VSH917571:VSH917572 WCD917571:WCD917572 WLZ917571:WLZ917572 WVV917571:WVV917572 N983107:N983108 JJ983107:JJ983108 TF983107:TF983108 ADB983107:ADB983108 AMX983107:AMX983108 AWT983107:AWT983108 BGP983107:BGP983108 BQL983107:BQL983108 CAH983107:CAH983108 CKD983107:CKD983108 CTZ983107:CTZ983108 DDV983107:DDV983108 DNR983107:DNR983108 DXN983107:DXN983108 EHJ983107:EHJ983108 ERF983107:ERF983108 FBB983107:FBB983108 FKX983107:FKX983108 FUT983107:FUT983108 GEP983107:GEP983108 GOL983107:GOL983108 GYH983107:GYH983108 HID983107:HID983108 HRZ983107:HRZ983108 IBV983107:IBV983108 ILR983107:ILR983108 IVN983107:IVN983108 JFJ983107:JFJ983108 JPF983107:JPF983108 JZB983107:JZB983108 KIX983107:KIX983108 KST983107:KST983108 LCP983107:LCP983108 LML983107:LML983108 LWH983107:LWH983108 MGD983107:MGD983108 MPZ983107:MPZ983108 MZV983107:MZV983108 NJR983107:NJR983108 NTN983107:NTN983108 ODJ983107:ODJ983108 ONF983107:ONF983108 OXB983107:OXB983108 PGX983107:PGX983108 PQT983107:PQT983108 QAP983107:QAP983108 QKL983107:QKL983108 QUH983107:QUH983108 RED983107:RED983108 RNZ983107:RNZ983108 RXV983107:RXV983108 SHR983107:SHR983108 SRN983107:SRN983108 TBJ983107:TBJ983108 TLF983107:TLF983108 TVB983107:TVB983108 UEX983107:UEX983108 UOT983107:UOT983108 UYP983107:UYP983108 VIL983107:VIL983108 VSH983107:VSH983108 WCD983107:WCD983108 WLZ983107:WLZ983108 WVV983107:WVV983108 WVV983088:WVV983090 JJ46:JJ48 TF46:TF48 ADB46:ADB48 AMX46:AMX48 AWT46:AWT48 BGP46:BGP48 BQL46:BQL48 CAH46:CAH48 CKD46:CKD48 CTZ46:CTZ48 DDV46:DDV48 DNR46:DNR48 DXN46:DXN48 EHJ46:EHJ48 ERF46:ERF48 FBB46:FBB48 FKX46:FKX48 FUT46:FUT48 GEP46:GEP48 GOL46:GOL48 GYH46:GYH48 HID46:HID48 HRZ46:HRZ48 IBV46:IBV48 ILR46:ILR48 IVN46:IVN48 JFJ46:JFJ48 JPF46:JPF48 JZB46:JZB48 KIX46:KIX48 KST46:KST48 LCP46:LCP48 LML46:LML48 LWH46:LWH48 MGD46:MGD48 MPZ46:MPZ48 MZV46:MZV48 NJR46:NJR48 NTN46:NTN48 ODJ46:ODJ48 ONF46:ONF48 OXB46:OXB48 PGX46:PGX48 PQT46:PQT48 QAP46:QAP48 QKL46:QKL48 QUH46:QUH48 RED46:RED48 RNZ46:RNZ48 RXV46:RXV48 SHR46:SHR48 SRN46:SRN48 TBJ46:TBJ48 TLF46:TLF48 TVB46:TVB48 UEX46:UEX48 UOT46:UOT48 UYP46:UYP48 VIL46:VIL48 VSH46:VSH48 WCD46:WCD48 WLZ46:WLZ48 WVV46:WVV48 N65584:N65586 JJ65584:JJ65586 TF65584:TF65586 ADB65584:ADB65586 AMX65584:AMX65586 AWT65584:AWT65586 BGP65584:BGP65586 BQL65584:BQL65586 CAH65584:CAH65586 CKD65584:CKD65586 CTZ65584:CTZ65586 DDV65584:DDV65586 DNR65584:DNR65586 DXN65584:DXN65586 EHJ65584:EHJ65586 ERF65584:ERF65586 FBB65584:FBB65586 FKX65584:FKX65586 FUT65584:FUT65586 GEP65584:GEP65586 GOL65584:GOL65586 GYH65584:GYH65586 HID65584:HID65586 HRZ65584:HRZ65586 IBV65584:IBV65586 ILR65584:ILR65586 IVN65584:IVN65586 JFJ65584:JFJ65586 JPF65584:JPF65586 JZB65584:JZB65586 KIX65584:KIX65586 KST65584:KST65586 LCP65584:LCP65586 LML65584:LML65586 LWH65584:LWH65586 MGD65584:MGD65586 MPZ65584:MPZ65586 MZV65584:MZV65586 NJR65584:NJR65586 NTN65584:NTN65586 ODJ65584:ODJ65586 ONF65584:ONF65586 OXB65584:OXB65586 PGX65584:PGX65586 PQT65584:PQT65586 QAP65584:QAP65586 QKL65584:QKL65586 QUH65584:QUH65586 RED65584:RED65586 RNZ65584:RNZ65586 RXV65584:RXV65586 SHR65584:SHR65586 SRN65584:SRN65586 TBJ65584:TBJ65586 TLF65584:TLF65586 TVB65584:TVB65586 UEX65584:UEX65586 UOT65584:UOT65586 UYP65584:UYP65586 VIL65584:VIL65586 VSH65584:VSH65586 WCD65584:WCD65586 WLZ65584:WLZ65586 WVV65584:WVV65586 N131120:N131122 JJ131120:JJ131122 TF131120:TF131122 ADB131120:ADB131122 AMX131120:AMX131122 AWT131120:AWT131122 BGP131120:BGP131122 BQL131120:BQL131122 CAH131120:CAH131122 CKD131120:CKD131122 CTZ131120:CTZ131122 DDV131120:DDV131122 DNR131120:DNR131122 DXN131120:DXN131122 EHJ131120:EHJ131122 ERF131120:ERF131122 FBB131120:FBB131122 FKX131120:FKX131122 FUT131120:FUT131122 GEP131120:GEP131122 GOL131120:GOL131122 GYH131120:GYH131122 HID131120:HID131122 HRZ131120:HRZ131122 IBV131120:IBV131122 ILR131120:ILR131122 IVN131120:IVN131122 JFJ131120:JFJ131122 JPF131120:JPF131122 JZB131120:JZB131122 KIX131120:KIX131122 KST131120:KST131122 LCP131120:LCP131122 LML131120:LML131122 LWH131120:LWH131122 MGD131120:MGD131122 MPZ131120:MPZ131122 MZV131120:MZV131122 NJR131120:NJR131122 NTN131120:NTN131122 ODJ131120:ODJ131122 ONF131120:ONF131122 OXB131120:OXB131122 PGX131120:PGX131122 PQT131120:PQT131122 QAP131120:QAP131122 QKL131120:QKL131122 QUH131120:QUH131122 RED131120:RED131122 RNZ131120:RNZ131122 RXV131120:RXV131122 SHR131120:SHR131122 SRN131120:SRN131122 TBJ131120:TBJ131122 TLF131120:TLF131122 TVB131120:TVB131122 UEX131120:UEX131122 UOT131120:UOT131122 UYP131120:UYP131122 VIL131120:VIL131122 VSH131120:VSH131122 WCD131120:WCD131122 WLZ131120:WLZ131122 WVV131120:WVV131122 N196656:N196658 JJ196656:JJ196658 TF196656:TF196658 ADB196656:ADB196658 AMX196656:AMX196658 AWT196656:AWT196658 BGP196656:BGP196658 BQL196656:BQL196658 CAH196656:CAH196658 CKD196656:CKD196658 CTZ196656:CTZ196658 DDV196656:DDV196658 DNR196656:DNR196658 DXN196656:DXN196658 EHJ196656:EHJ196658 ERF196656:ERF196658 FBB196656:FBB196658 FKX196656:FKX196658 FUT196656:FUT196658 GEP196656:GEP196658 GOL196656:GOL196658 GYH196656:GYH196658 HID196656:HID196658 HRZ196656:HRZ196658 IBV196656:IBV196658 ILR196656:ILR196658 IVN196656:IVN196658 JFJ196656:JFJ196658 JPF196656:JPF196658 JZB196656:JZB196658 KIX196656:KIX196658 KST196656:KST196658 LCP196656:LCP196658 LML196656:LML196658 LWH196656:LWH196658 MGD196656:MGD196658 MPZ196656:MPZ196658 MZV196656:MZV196658 NJR196656:NJR196658 NTN196656:NTN196658 ODJ196656:ODJ196658 ONF196656:ONF196658 OXB196656:OXB196658 PGX196656:PGX196658 PQT196656:PQT196658 QAP196656:QAP196658 QKL196656:QKL196658 QUH196656:QUH196658 RED196656:RED196658 RNZ196656:RNZ196658 RXV196656:RXV196658 SHR196656:SHR196658 SRN196656:SRN196658 TBJ196656:TBJ196658 TLF196656:TLF196658 TVB196656:TVB196658 UEX196656:UEX196658 UOT196656:UOT196658 UYP196656:UYP196658 VIL196656:VIL196658 VSH196656:VSH196658 WCD196656:WCD196658 WLZ196656:WLZ196658 WVV196656:WVV196658 N262192:N262194 JJ262192:JJ262194 TF262192:TF262194 ADB262192:ADB262194 AMX262192:AMX262194 AWT262192:AWT262194 BGP262192:BGP262194 BQL262192:BQL262194 CAH262192:CAH262194 CKD262192:CKD262194 CTZ262192:CTZ262194 DDV262192:DDV262194 DNR262192:DNR262194 DXN262192:DXN262194 EHJ262192:EHJ262194 ERF262192:ERF262194 FBB262192:FBB262194 FKX262192:FKX262194 FUT262192:FUT262194 GEP262192:GEP262194 GOL262192:GOL262194 GYH262192:GYH262194 HID262192:HID262194 HRZ262192:HRZ262194 IBV262192:IBV262194 ILR262192:ILR262194 IVN262192:IVN262194 JFJ262192:JFJ262194 JPF262192:JPF262194 JZB262192:JZB262194 KIX262192:KIX262194 KST262192:KST262194 LCP262192:LCP262194 LML262192:LML262194 LWH262192:LWH262194 MGD262192:MGD262194 MPZ262192:MPZ262194 MZV262192:MZV262194 NJR262192:NJR262194 NTN262192:NTN262194 ODJ262192:ODJ262194 ONF262192:ONF262194 OXB262192:OXB262194 PGX262192:PGX262194 PQT262192:PQT262194 QAP262192:QAP262194 QKL262192:QKL262194 QUH262192:QUH262194 RED262192:RED262194 RNZ262192:RNZ262194 RXV262192:RXV262194 SHR262192:SHR262194 SRN262192:SRN262194 TBJ262192:TBJ262194 TLF262192:TLF262194 TVB262192:TVB262194 UEX262192:UEX262194 UOT262192:UOT262194 UYP262192:UYP262194 VIL262192:VIL262194 VSH262192:VSH262194 WCD262192:WCD262194 WLZ262192:WLZ262194 WVV262192:WVV262194 N327728:N327730 JJ327728:JJ327730 TF327728:TF327730 ADB327728:ADB327730 AMX327728:AMX327730 AWT327728:AWT327730 BGP327728:BGP327730 BQL327728:BQL327730 CAH327728:CAH327730 CKD327728:CKD327730 CTZ327728:CTZ327730 DDV327728:DDV327730 DNR327728:DNR327730 DXN327728:DXN327730 EHJ327728:EHJ327730 ERF327728:ERF327730 FBB327728:FBB327730 FKX327728:FKX327730 FUT327728:FUT327730 GEP327728:GEP327730 GOL327728:GOL327730 GYH327728:GYH327730 HID327728:HID327730 HRZ327728:HRZ327730 IBV327728:IBV327730 ILR327728:ILR327730 IVN327728:IVN327730 JFJ327728:JFJ327730 JPF327728:JPF327730 JZB327728:JZB327730 KIX327728:KIX327730 KST327728:KST327730 LCP327728:LCP327730 LML327728:LML327730 LWH327728:LWH327730 MGD327728:MGD327730 MPZ327728:MPZ327730 MZV327728:MZV327730 NJR327728:NJR327730 NTN327728:NTN327730 ODJ327728:ODJ327730 ONF327728:ONF327730 OXB327728:OXB327730 PGX327728:PGX327730 PQT327728:PQT327730 QAP327728:QAP327730 QKL327728:QKL327730 QUH327728:QUH327730 RED327728:RED327730 RNZ327728:RNZ327730 RXV327728:RXV327730 SHR327728:SHR327730 SRN327728:SRN327730 TBJ327728:TBJ327730 TLF327728:TLF327730 TVB327728:TVB327730 UEX327728:UEX327730 UOT327728:UOT327730 UYP327728:UYP327730 VIL327728:VIL327730 VSH327728:VSH327730 WCD327728:WCD327730 WLZ327728:WLZ327730 WVV327728:WVV327730 N393264:N393266 JJ393264:JJ393266 TF393264:TF393266 ADB393264:ADB393266 AMX393264:AMX393266 AWT393264:AWT393266 BGP393264:BGP393266 BQL393264:BQL393266 CAH393264:CAH393266 CKD393264:CKD393266 CTZ393264:CTZ393266 DDV393264:DDV393266 DNR393264:DNR393266 DXN393264:DXN393266 EHJ393264:EHJ393266 ERF393264:ERF393266 FBB393264:FBB393266 FKX393264:FKX393266 FUT393264:FUT393266 GEP393264:GEP393266 GOL393264:GOL393266 GYH393264:GYH393266 HID393264:HID393266 HRZ393264:HRZ393266 IBV393264:IBV393266 ILR393264:ILR393266 IVN393264:IVN393266 JFJ393264:JFJ393266 JPF393264:JPF393266 JZB393264:JZB393266 KIX393264:KIX393266 KST393264:KST393266 LCP393264:LCP393266 LML393264:LML393266 LWH393264:LWH393266 MGD393264:MGD393266 MPZ393264:MPZ393266 MZV393264:MZV393266 NJR393264:NJR393266 NTN393264:NTN393266 ODJ393264:ODJ393266 ONF393264:ONF393266 OXB393264:OXB393266 PGX393264:PGX393266 PQT393264:PQT393266 QAP393264:QAP393266 QKL393264:QKL393266 QUH393264:QUH393266 RED393264:RED393266 RNZ393264:RNZ393266 RXV393264:RXV393266 SHR393264:SHR393266 SRN393264:SRN393266 TBJ393264:TBJ393266 TLF393264:TLF393266 TVB393264:TVB393266 UEX393264:UEX393266 UOT393264:UOT393266 UYP393264:UYP393266 VIL393264:VIL393266 VSH393264:VSH393266 WCD393264:WCD393266 WLZ393264:WLZ393266 WVV393264:WVV393266 N458800:N458802 JJ458800:JJ458802 TF458800:TF458802 ADB458800:ADB458802 AMX458800:AMX458802 AWT458800:AWT458802 BGP458800:BGP458802 BQL458800:BQL458802 CAH458800:CAH458802 CKD458800:CKD458802 CTZ458800:CTZ458802 DDV458800:DDV458802 DNR458800:DNR458802 DXN458800:DXN458802 EHJ458800:EHJ458802 ERF458800:ERF458802 FBB458800:FBB458802 FKX458800:FKX458802 FUT458800:FUT458802 GEP458800:GEP458802 GOL458800:GOL458802 GYH458800:GYH458802 HID458800:HID458802 HRZ458800:HRZ458802 IBV458800:IBV458802 ILR458800:ILR458802 IVN458800:IVN458802 JFJ458800:JFJ458802 JPF458800:JPF458802 JZB458800:JZB458802 KIX458800:KIX458802 KST458800:KST458802 LCP458800:LCP458802 LML458800:LML458802 LWH458800:LWH458802 MGD458800:MGD458802 MPZ458800:MPZ458802 MZV458800:MZV458802 NJR458800:NJR458802 NTN458800:NTN458802 ODJ458800:ODJ458802 ONF458800:ONF458802 OXB458800:OXB458802 PGX458800:PGX458802 PQT458800:PQT458802 QAP458800:QAP458802 QKL458800:QKL458802 QUH458800:QUH458802 RED458800:RED458802 RNZ458800:RNZ458802 RXV458800:RXV458802 SHR458800:SHR458802 SRN458800:SRN458802 TBJ458800:TBJ458802 TLF458800:TLF458802 TVB458800:TVB458802 UEX458800:UEX458802 UOT458800:UOT458802 UYP458800:UYP458802 VIL458800:VIL458802 VSH458800:VSH458802 WCD458800:WCD458802 WLZ458800:WLZ458802 WVV458800:WVV458802 N524336:N524338 JJ524336:JJ524338 TF524336:TF524338 ADB524336:ADB524338 AMX524336:AMX524338 AWT524336:AWT524338 BGP524336:BGP524338 BQL524336:BQL524338 CAH524336:CAH524338 CKD524336:CKD524338 CTZ524336:CTZ524338 DDV524336:DDV524338 DNR524336:DNR524338 DXN524336:DXN524338 EHJ524336:EHJ524338 ERF524336:ERF524338 FBB524336:FBB524338 FKX524336:FKX524338 FUT524336:FUT524338 GEP524336:GEP524338 GOL524336:GOL524338 GYH524336:GYH524338 HID524336:HID524338 HRZ524336:HRZ524338 IBV524336:IBV524338 ILR524336:ILR524338 IVN524336:IVN524338 JFJ524336:JFJ524338 JPF524336:JPF524338 JZB524336:JZB524338 KIX524336:KIX524338 KST524336:KST524338 LCP524336:LCP524338 LML524336:LML524338 LWH524336:LWH524338 MGD524336:MGD524338 MPZ524336:MPZ524338 MZV524336:MZV524338 NJR524336:NJR524338 NTN524336:NTN524338 ODJ524336:ODJ524338 ONF524336:ONF524338 OXB524336:OXB524338 PGX524336:PGX524338 PQT524336:PQT524338 QAP524336:QAP524338 QKL524336:QKL524338 QUH524336:QUH524338 RED524336:RED524338 RNZ524336:RNZ524338 RXV524336:RXV524338 SHR524336:SHR524338 SRN524336:SRN524338 TBJ524336:TBJ524338 TLF524336:TLF524338 TVB524336:TVB524338 UEX524336:UEX524338 UOT524336:UOT524338 UYP524336:UYP524338 VIL524336:VIL524338 VSH524336:VSH524338 WCD524336:WCD524338 WLZ524336:WLZ524338 WVV524336:WVV524338 N589872:N589874 JJ589872:JJ589874 TF589872:TF589874 ADB589872:ADB589874 AMX589872:AMX589874 AWT589872:AWT589874 BGP589872:BGP589874 BQL589872:BQL589874 CAH589872:CAH589874 CKD589872:CKD589874 CTZ589872:CTZ589874 DDV589872:DDV589874 DNR589872:DNR589874 DXN589872:DXN589874 EHJ589872:EHJ589874 ERF589872:ERF589874 FBB589872:FBB589874 FKX589872:FKX589874 FUT589872:FUT589874 GEP589872:GEP589874 GOL589872:GOL589874 GYH589872:GYH589874 HID589872:HID589874 HRZ589872:HRZ589874 IBV589872:IBV589874 ILR589872:ILR589874 IVN589872:IVN589874 JFJ589872:JFJ589874 JPF589872:JPF589874 JZB589872:JZB589874 KIX589872:KIX589874 KST589872:KST589874 LCP589872:LCP589874 LML589872:LML589874 LWH589872:LWH589874 MGD589872:MGD589874 MPZ589872:MPZ589874 MZV589872:MZV589874 NJR589872:NJR589874 NTN589872:NTN589874 ODJ589872:ODJ589874 ONF589872:ONF589874 OXB589872:OXB589874 PGX589872:PGX589874 PQT589872:PQT589874 QAP589872:QAP589874 QKL589872:QKL589874 QUH589872:QUH589874 RED589872:RED589874 RNZ589872:RNZ589874 RXV589872:RXV589874 SHR589872:SHR589874 SRN589872:SRN589874 TBJ589872:TBJ589874 TLF589872:TLF589874 TVB589872:TVB589874 UEX589872:UEX589874 UOT589872:UOT589874 UYP589872:UYP589874 VIL589872:VIL589874 VSH589872:VSH589874 WCD589872:WCD589874 WLZ589872:WLZ589874 WVV589872:WVV589874 N655408:N655410 JJ655408:JJ655410 TF655408:TF655410 ADB655408:ADB655410 AMX655408:AMX655410 AWT655408:AWT655410 BGP655408:BGP655410 BQL655408:BQL655410 CAH655408:CAH655410 CKD655408:CKD655410 CTZ655408:CTZ655410 DDV655408:DDV655410 DNR655408:DNR655410 DXN655408:DXN655410 EHJ655408:EHJ655410 ERF655408:ERF655410 FBB655408:FBB655410 FKX655408:FKX655410 FUT655408:FUT655410 GEP655408:GEP655410 GOL655408:GOL655410 GYH655408:GYH655410 HID655408:HID655410 HRZ655408:HRZ655410 IBV655408:IBV655410 ILR655408:ILR655410 IVN655408:IVN655410 JFJ655408:JFJ655410 JPF655408:JPF655410 JZB655408:JZB655410 KIX655408:KIX655410 KST655408:KST655410 LCP655408:LCP655410 LML655408:LML655410 LWH655408:LWH655410 MGD655408:MGD655410 MPZ655408:MPZ655410 MZV655408:MZV655410 NJR655408:NJR655410 NTN655408:NTN655410 ODJ655408:ODJ655410 ONF655408:ONF655410 OXB655408:OXB655410 PGX655408:PGX655410 PQT655408:PQT655410 QAP655408:QAP655410 QKL655408:QKL655410 QUH655408:QUH655410 RED655408:RED655410 RNZ655408:RNZ655410 RXV655408:RXV655410 SHR655408:SHR655410 SRN655408:SRN655410 TBJ655408:TBJ655410 TLF655408:TLF655410 TVB655408:TVB655410 UEX655408:UEX655410 UOT655408:UOT655410 UYP655408:UYP655410 VIL655408:VIL655410 VSH655408:VSH655410 WCD655408:WCD655410 WLZ655408:WLZ655410 WVV655408:WVV655410 N720944:N720946 JJ720944:JJ720946 TF720944:TF720946 ADB720944:ADB720946 AMX720944:AMX720946 AWT720944:AWT720946 BGP720944:BGP720946 BQL720944:BQL720946 CAH720944:CAH720946 CKD720944:CKD720946 CTZ720944:CTZ720946 DDV720944:DDV720946 DNR720944:DNR720946 DXN720944:DXN720946 EHJ720944:EHJ720946 ERF720944:ERF720946 FBB720944:FBB720946 FKX720944:FKX720946 FUT720944:FUT720946 GEP720944:GEP720946 GOL720944:GOL720946 GYH720944:GYH720946 HID720944:HID720946 HRZ720944:HRZ720946 IBV720944:IBV720946 ILR720944:ILR720946 IVN720944:IVN720946 JFJ720944:JFJ720946 JPF720944:JPF720946 JZB720944:JZB720946 KIX720944:KIX720946 KST720944:KST720946 LCP720944:LCP720946 LML720944:LML720946 LWH720944:LWH720946 MGD720944:MGD720946 MPZ720944:MPZ720946 MZV720944:MZV720946 NJR720944:NJR720946 NTN720944:NTN720946 ODJ720944:ODJ720946 ONF720944:ONF720946 OXB720944:OXB720946 PGX720944:PGX720946 PQT720944:PQT720946 QAP720944:QAP720946 QKL720944:QKL720946 QUH720944:QUH720946 RED720944:RED720946 RNZ720944:RNZ720946 RXV720944:RXV720946 SHR720944:SHR720946 SRN720944:SRN720946 TBJ720944:TBJ720946 TLF720944:TLF720946 TVB720944:TVB720946 UEX720944:UEX720946 UOT720944:UOT720946 UYP720944:UYP720946 VIL720944:VIL720946 VSH720944:VSH720946 WCD720944:WCD720946 WLZ720944:WLZ720946 WVV720944:WVV720946 N786480:N786482 JJ786480:JJ786482 TF786480:TF786482 ADB786480:ADB786482 AMX786480:AMX786482 AWT786480:AWT786482 BGP786480:BGP786482 BQL786480:BQL786482 CAH786480:CAH786482 CKD786480:CKD786482 CTZ786480:CTZ786482 DDV786480:DDV786482 DNR786480:DNR786482 DXN786480:DXN786482 EHJ786480:EHJ786482 ERF786480:ERF786482 FBB786480:FBB786482 FKX786480:FKX786482 FUT786480:FUT786482 GEP786480:GEP786482 GOL786480:GOL786482 GYH786480:GYH786482 HID786480:HID786482 HRZ786480:HRZ786482 IBV786480:IBV786482 ILR786480:ILR786482 IVN786480:IVN786482 JFJ786480:JFJ786482 JPF786480:JPF786482 JZB786480:JZB786482 KIX786480:KIX786482 KST786480:KST786482 LCP786480:LCP786482 LML786480:LML786482 LWH786480:LWH786482 MGD786480:MGD786482 MPZ786480:MPZ786482 MZV786480:MZV786482 NJR786480:NJR786482 NTN786480:NTN786482 ODJ786480:ODJ786482 ONF786480:ONF786482 OXB786480:OXB786482 PGX786480:PGX786482 PQT786480:PQT786482 QAP786480:QAP786482 QKL786480:QKL786482 QUH786480:QUH786482 RED786480:RED786482 RNZ786480:RNZ786482 RXV786480:RXV786482 SHR786480:SHR786482 SRN786480:SRN786482 TBJ786480:TBJ786482 TLF786480:TLF786482 TVB786480:TVB786482 UEX786480:UEX786482 UOT786480:UOT786482 UYP786480:UYP786482 VIL786480:VIL786482 VSH786480:VSH786482 WCD786480:WCD786482 WLZ786480:WLZ786482 WVV786480:WVV786482 N852016:N852018 JJ852016:JJ852018 TF852016:TF852018 ADB852016:ADB852018 AMX852016:AMX852018 AWT852016:AWT852018 BGP852016:BGP852018 BQL852016:BQL852018 CAH852016:CAH852018 CKD852016:CKD852018 CTZ852016:CTZ852018 DDV852016:DDV852018 DNR852016:DNR852018 DXN852016:DXN852018 EHJ852016:EHJ852018 ERF852016:ERF852018 FBB852016:FBB852018 FKX852016:FKX852018 FUT852016:FUT852018 GEP852016:GEP852018 GOL852016:GOL852018 GYH852016:GYH852018 HID852016:HID852018 HRZ852016:HRZ852018 IBV852016:IBV852018 ILR852016:ILR852018 IVN852016:IVN852018 JFJ852016:JFJ852018 JPF852016:JPF852018 JZB852016:JZB852018 KIX852016:KIX852018 KST852016:KST852018 LCP852016:LCP852018 LML852016:LML852018 LWH852016:LWH852018 MGD852016:MGD852018 MPZ852016:MPZ852018 MZV852016:MZV852018 NJR852016:NJR852018 NTN852016:NTN852018 ODJ852016:ODJ852018 ONF852016:ONF852018 OXB852016:OXB852018 PGX852016:PGX852018 PQT852016:PQT852018 QAP852016:QAP852018 QKL852016:QKL852018 QUH852016:QUH852018 RED852016:RED852018 RNZ852016:RNZ852018 RXV852016:RXV852018 SHR852016:SHR852018 SRN852016:SRN852018 TBJ852016:TBJ852018 TLF852016:TLF852018 TVB852016:TVB852018 UEX852016:UEX852018 UOT852016:UOT852018 UYP852016:UYP852018 VIL852016:VIL852018 VSH852016:VSH852018 WCD852016:WCD852018 WLZ852016:WLZ852018 WVV852016:WVV852018 N917552:N917554 JJ917552:JJ917554 TF917552:TF917554 ADB917552:ADB917554 AMX917552:AMX917554 AWT917552:AWT917554 BGP917552:BGP917554 BQL917552:BQL917554 CAH917552:CAH917554 CKD917552:CKD917554 CTZ917552:CTZ917554 DDV917552:DDV917554 DNR917552:DNR917554 DXN917552:DXN917554 EHJ917552:EHJ917554 ERF917552:ERF917554 FBB917552:FBB917554 FKX917552:FKX917554 FUT917552:FUT917554 GEP917552:GEP917554 GOL917552:GOL917554 GYH917552:GYH917554 HID917552:HID917554 HRZ917552:HRZ917554 IBV917552:IBV917554 ILR917552:ILR917554 IVN917552:IVN917554 JFJ917552:JFJ917554 JPF917552:JPF917554 JZB917552:JZB917554 KIX917552:KIX917554 KST917552:KST917554 LCP917552:LCP917554 LML917552:LML917554 LWH917552:LWH917554 MGD917552:MGD917554 MPZ917552:MPZ917554 MZV917552:MZV917554 NJR917552:NJR917554 NTN917552:NTN917554 ODJ917552:ODJ917554 ONF917552:ONF917554 OXB917552:OXB917554 PGX917552:PGX917554 PQT917552:PQT917554 QAP917552:QAP917554 QKL917552:QKL917554 QUH917552:QUH917554 RED917552:RED917554 RNZ917552:RNZ917554 RXV917552:RXV917554 SHR917552:SHR917554 SRN917552:SRN917554 TBJ917552:TBJ917554 TLF917552:TLF917554 TVB917552:TVB917554 UEX917552:UEX917554 UOT917552:UOT917554 UYP917552:UYP917554 VIL917552:VIL917554 VSH917552:VSH917554 WCD917552:WCD917554 WLZ917552:WLZ917554 WVV917552:WVV917554 N983088:N983090 JJ983088:JJ983090 TF983088:TF983090 ADB983088:ADB983090 AMX983088:AMX983090 AWT983088:AWT983090 BGP983088:BGP983090 BQL983088:BQL983090 CAH983088:CAH983090 CKD983088:CKD983090 CTZ983088:CTZ983090 DDV983088:DDV983090 DNR983088:DNR983090 DXN983088:DXN983090 EHJ983088:EHJ983090 ERF983088:ERF983090 FBB983088:FBB983090 FKX983088:FKX983090 FUT983088:FUT983090 GEP983088:GEP983090 GOL983088:GOL983090 GYH983088:GYH983090 HID983088:HID983090 HRZ983088:HRZ983090 IBV983088:IBV983090 ILR983088:ILR983090 IVN983088:IVN983090 JFJ983088:JFJ983090 JPF983088:JPF983090 JZB983088:JZB983090 KIX983088:KIX983090 KST983088:KST983090 LCP983088:LCP983090 LML983088:LML983090 LWH983088:LWH983090 MGD983088:MGD983090 MPZ983088:MPZ983090 MZV983088:MZV983090 NJR983088:NJR983090 NTN983088:NTN983090 ODJ983088:ODJ983090 ONF983088:ONF983090 OXB983088:OXB983090 PGX983088:PGX983090 PQT983088:PQT983090 QAP983088:QAP983090 QKL983088:QKL983090 QUH983088:QUH983090 RED983088:RED983090 RNZ983088:RNZ983090 RXV983088:RXV983090 SHR983088:SHR983090 SRN983088:SRN983090 TBJ983088:TBJ983090 TLF983088:TLF983090 TVB983088:TVB983090 UEX983088:UEX983090 UOT983088:UOT983090 UYP983088:UYP983090 VIL983088:VIL983090 WVV82:WVV86 WLZ82:WLZ86 WCD82:WCD86 VSH82:VSH86 VIL82:VIL86 UYP82:UYP86 UOT82:UOT86 UEX82:UEX86 TVB82:TVB86 TLF82:TLF86 TBJ82:TBJ86 SRN82:SRN86 SHR82:SHR86 RXV82:RXV86 RNZ82:RNZ86 RED82:RED86 QUH82:QUH86 QKL82:QKL86 QAP82:QAP86 PQT82:PQT86 PGX82:PGX86 OXB82:OXB86 ONF82:ONF86 ODJ82:ODJ86 NTN82:NTN86 NJR82:NJR86 MZV82:MZV86 MPZ82:MPZ86 MGD82:MGD86 LWH82:LWH86 LML82:LML86 LCP82:LCP86 KST82:KST86 KIX82:KIX86 JZB82:JZB86 JPF82:JPF86 JFJ82:JFJ86 IVN82:IVN86 ILR82:ILR86 IBV82:IBV86 HRZ82:HRZ86 HID82:HID86 GYH82:GYH86 GOL82:GOL86 GEP82:GEP86 FUT82:FUT86 FKX82:FKX86 FBB82:FBB86 ERF82:ERF86 EHJ82:EHJ86 DXN82:DXN86 DNR82:DNR86 DDV82:DDV86 CTZ82:CTZ86 CKD82:CKD86 CAH82:CAH86 BQL82:BQL86 BGP82:BGP86 AWT82:AWT86 AMX82:AMX86 ADB82:ADB86 TF82:TF86 JJ82:JJ86" xr:uid="{00000000-0002-0000-0200-000000000000}">
      <formula1>"○,　,対象外"</formula1>
    </dataValidation>
    <dataValidation type="decimal" operator="greaterThanOrEqual" allowBlank="1" showInputMessage="1" showErrorMessage="1" sqref="J99:J100 JF99:JF100 TB99:TB100 ACX99:ACX100 AMT99:AMT100 AWP99:AWP100 BGL99:BGL100 BQH99:BQH100 CAD99:CAD100 CJZ99:CJZ100 CTV99:CTV100 DDR99:DDR100 DNN99:DNN100 DXJ99:DXJ100 EHF99:EHF100 ERB99:ERB100 FAX99:FAX100 FKT99:FKT100 FUP99:FUP100 GEL99:GEL100 GOH99:GOH100 GYD99:GYD100 HHZ99:HHZ100 HRV99:HRV100 IBR99:IBR100 ILN99:ILN100 IVJ99:IVJ100 JFF99:JFF100 JPB99:JPB100 JYX99:JYX100 KIT99:KIT100 KSP99:KSP100 LCL99:LCL100 LMH99:LMH100 LWD99:LWD100 MFZ99:MFZ100 MPV99:MPV100 MZR99:MZR100 NJN99:NJN100 NTJ99:NTJ100 ODF99:ODF100 ONB99:ONB100 OWX99:OWX100 PGT99:PGT100 PQP99:PQP100 QAL99:QAL100 QKH99:QKH100 QUD99:QUD100 RDZ99:RDZ100 RNV99:RNV100 RXR99:RXR100 SHN99:SHN100 SRJ99:SRJ100 TBF99:TBF100 TLB99:TLB100 TUX99:TUX100 UET99:UET100 UOP99:UOP100 UYL99:UYL100 VIH99:VIH100 VSD99:VSD100 WBZ99:WBZ100 WLV99:WLV100 WVR99:WVR100 J65635:J65636 JF65635:JF65636 TB65635:TB65636 ACX65635:ACX65636 AMT65635:AMT65636 AWP65635:AWP65636 BGL65635:BGL65636 BQH65635:BQH65636 CAD65635:CAD65636 CJZ65635:CJZ65636 CTV65635:CTV65636 DDR65635:DDR65636 DNN65635:DNN65636 DXJ65635:DXJ65636 EHF65635:EHF65636 ERB65635:ERB65636 FAX65635:FAX65636 FKT65635:FKT65636 FUP65635:FUP65636 GEL65635:GEL65636 GOH65635:GOH65636 GYD65635:GYD65636 HHZ65635:HHZ65636 HRV65635:HRV65636 IBR65635:IBR65636 ILN65635:ILN65636 IVJ65635:IVJ65636 JFF65635:JFF65636 JPB65635:JPB65636 JYX65635:JYX65636 KIT65635:KIT65636 KSP65635:KSP65636 LCL65635:LCL65636 LMH65635:LMH65636 LWD65635:LWD65636 MFZ65635:MFZ65636 MPV65635:MPV65636 MZR65635:MZR65636 NJN65635:NJN65636 NTJ65635:NTJ65636 ODF65635:ODF65636 ONB65635:ONB65636 OWX65635:OWX65636 PGT65635:PGT65636 PQP65635:PQP65636 QAL65635:QAL65636 QKH65635:QKH65636 QUD65635:QUD65636 RDZ65635:RDZ65636 RNV65635:RNV65636 RXR65635:RXR65636 SHN65635:SHN65636 SRJ65635:SRJ65636 TBF65635:TBF65636 TLB65635:TLB65636 TUX65635:TUX65636 UET65635:UET65636 UOP65635:UOP65636 UYL65635:UYL65636 VIH65635:VIH65636 VSD65635:VSD65636 WBZ65635:WBZ65636 WLV65635:WLV65636 WVR65635:WVR65636 J131171:J131172 JF131171:JF131172 TB131171:TB131172 ACX131171:ACX131172 AMT131171:AMT131172 AWP131171:AWP131172 BGL131171:BGL131172 BQH131171:BQH131172 CAD131171:CAD131172 CJZ131171:CJZ131172 CTV131171:CTV131172 DDR131171:DDR131172 DNN131171:DNN131172 DXJ131171:DXJ131172 EHF131171:EHF131172 ERB131171:ERB131172 FAX131171:FAX131172 FKT131171:FKT131172 FUP131171:FUP131172 GEL131171:GEL131172 GOH131171:GOH131172 GYD131171:GYD131172 HHZ131171:HHZ131172 HRV131171:HRV131172 IBR131171:IBR131172 ILN131171:ILN131172 IVJ131171:IVJ131172 JFF131171:JFF131172 JPB131171:JPB131172 JYX131171:JYX131172 KIT131171:KIT131172 KSP131171:KSP131172 LCL131171:LCL131172 LMH131171:LMH131172 LWD131171:LWD131172 MFZ131171:MFZ131172 MPV131171:MPV131172 MZR131171:MZR131172 NJN131171:NJN131172 NTJ131171:NTJ131172 ODF131171:ODF131172 ONB131171:ONB131172 OWX131171:OWX131172 PGT131171:PGT131172 PQP131171:PQP131172 QAL131171:QAL131172 QKH131171:QKH131172 QUD131171:QUD131172 RDZ131171:RDZ131172 RNV131171:RNV131172 RXR131171:RXR131172 SHN131171:SHN131172 SRJ131171:SRJ131172 TBF131171:TBF131172 TLB131171:TLB131172 TUX131171:TUX131172 UET131171:UET131172 UOP131171:UOP131172 UYL131171:UYL131172 VIH131171:VIH131172 VSD131171:VSD131172 WBZ131171:WBZ131172 WLV131171:WLV131172 WVR131171:WVR131172 J196707:J196708 JF196707:JF196708 TB196707:TB196708 ACX196707:ACX196708 AMT196707:AMT196708 AWP196707:AWP196708 BGL196707:BGL196708 BQH196707:BQH196708 CAD196707:CAD196708 CJZ196707:CJZ196708 CTV196707:CTV196708 DDR196707:DDR196708 DNN196707:DNN196708 DXJ196707:DXJ196708 EHF196707:EHF196708 ERB196707:ERB196708 FAX196707:FAX196708 FKT196707:FKT196708 FUP196707:FUP196708 GEL196707:GEL196708 GOH196707:GOH196708 GYD196707:GYD196708 HHZ196707:HHZ196708 HRV196707:HRV196708 IBR196707:IBR196708 ILN196707:ILN196708 IVJ196707:IVJ196708 JFF196707:JFF196708 JPB196707:JPB196708 JYX196707:JYX196708 KIT196707:KIT196708 KSP196707:KSP196708 LCL196707:LCL196708 LMH196707:LMH196708 LWD196707:LWD196708 MFZ196707:MFZ196708 MPV196707:MPV196708 MZR196707:MZR196708 NJN196707:NJN196708 NTJ196707:NTJ196708 ODF196707:ODF196708 ONB196707:ONB196708 OWX196707:OWX196708 PGT196707:PGT196708 PQP196707:PQP196708 QAL196707:QAL196708 QKH196707:QKH196708 QUD196707:QUD196708 RDZ196707:RDZ196708 RNV196707:RNV196708 RXR196707:RXR196708 SHN196707:SHN196708 SRJ196707:SRJ196708 TBF196707:TBF196708 TLB196707:TLB196708 TUX196707:TUX196708 UET196707:UET196708 UOP196707:UOP196708 UYL196707:UYL196708 VIH196707:VIH196708 VSD196707:VSD196708 WBZ196707:WBZ196708 WLV196707:WLV196708 WVR196707:WVR196708 J262243:J262244 JF262243:JF262244 TB262243:TB262244 ACX262243:ACX262244 AMT262243:AMT262244 AWP262243:AWP262244 BGL262243:BGL262244 BQH262243:BQH262244 CAD262243:CAD262244 CJZ262243:CJZ262244 CTV262243:CTV262244 DDR262243:DDR262244 DNN262243:DNN262244 DXJ262243:DXJ262244 EHF262243:EHF262244 ERB262243:ERB262244 FAX262243:FAX262244 FKT262243:FKT262244 FUP262243:FUP262244 GEL262243:GEL262244 GOH262243:GOH262244 GYD262243:GYD262244 HHZ262243:HHZ262244 HRV262243:HRV262244 IBR262243:IBR262244 ILN262243:ILN262244 IVJ262243:IVJ262244 JFF262243:JFF262244 JPB262243:JPB262244 JYX262243:JYX262244 KIT262243:KIT262244 KSP262243:KSP262244 LCL262243:LCL262244 LMH262243:LMH262244 LWD262243:LWD262244 MFZ262243:MFZ262244 MPV262243:MPV262244 MZR262243:MZR262244 NJN262243:NJN262244 NTJ262243:NTJ262244 ODF262243:ODF262244 ONB262243:ONB262244 OWX262243:OWX262244 PGT262243:PGT262244 PQP262243:PQP262244 QAL262243:QAL262244 QKH262243:QKH262244 QUD262243:QUD262244 RDZ262243:RDZ262244 RNV262243:RNV262244 RXR262243:RXR262244 SHN262243:SHN262244 SRJ262243:SRJ262244 TBF262243:TBF262244 TLB262243:TLB262244 TUX262243:TUX262244 UET262243:UET262244 UOP262243:UOP262244 UYL262243:UYL262244 VIH262243:VIH262244 VSD262243:VSD262244 WBZ262243:WBZ262244 WLV262243:WLV262244 WVR262243:WVR262244 J327779:J327780 JF327779:JF327780 TB327779:TB327780 ACX327779:ACX327780 AMT327779:AMT327780 AWP327779:AWP327780 BGL327779:BGL327780 BQH327779:BQH327780 CAD327779:CAD327780 CJZ327779:CJZ327780 CTV327779:CTV327780 DDR327779:DDR327780 DNN327779:DNN327780 DXJ327779:DXJ327780 EHF327779:EHF327780 ERB327779:ERB327780 FAX327779:FAX327780 FKT327779:FKT327780 FUP327779:FUP327780 GEL327779:GEL327780 GOH327779:GOH327780 GYD327779:GYD327780 HHZ327779:HHZ327780 HRV327779:HRV327780 IBR327779:IBR327780 ILN327779:ILN327780 IVJ327779:IVJ327780 JFF327779:JFF327780 JPB327779:JPB327780 JYX327779:JYX327780 KIT327779:KIT327780 KSP327779:KSP327780 LCL327779:LCL327780 LMH327779:LMH327780 LWD327779:LWD327780 MFZ327779:MFZ327780 MPV327779:MPV327780 MZR327779:MZR327780 NJN327779:NJN327780 NTJ327779:NTJ327780 ODF327779:ODF327780 ONB327779:ONB327780 OWX327779:OWX327780 PGT327779:PGT327780 PQP327779:PQP327780 QAL327779:QAL327780 QKH327779:QKH327780 QUD327779:QUD327780 RDZ327779:RDZ327780 RNV327779:RNV327780 RXR327779:RXR327780 SHN327779:SHN327780 SRJ327779:SRJ327780 TBF327779:TBF327780 TLB327779:TLB327780 TUX327779:TUX327780 UET327779:UET327780 UOP327779:UOP327780 UYL327779:UYL327780 VIH327779:VIH327780 VSD327779:VSD327780 WBZ327779:WBZ327780 WLV327779:WLV327780 WVR327779:WVR327780 J393315:J393316 JF393315:JF393316 TB393315:TB393316 ACX393315:ACX393316 AMT393315:AMT393316 AWP393315:AWP393316 BGL393315:BGL393316 BQH393315:BQH393316 CAD393315:CAD393316 CJZ393315:CJZ393316 CTV393315:CTV393316 DDR393315:DDR393316 DNN393315:DNN393316 DXJ393315:DXJ393316 EHF393315:EHF393316 ERB393315:ERB393316 FAX393315:FAX393316 FKT393315:FKT393316 FUP393315:FUP393316 GEL393315:GEL393316 GOH393315:GOH393316 GYD393315:GYD393316 HHZ393315:HHZ393316 HRV393315:HRV393316 IBR393315:IBR393316 ILN393315:ILN393316 IVJ393315:IVJ393316 JFF393315:JFF393316 JPB393315:JPB393316 JYX393315:JYX393316 KIT393315:KIT393316 KSP393315:KSP393316 LCL393315:LCL393316 LMH393315:LMH393316 LWD393315:LWD393316 MFZ393315:MFZ393316 MPV393315:MPV393316 MZR393315:MZR393316 NJN393315:NJN393316 NTJ393315:NTJ393316 ODF393315:ODF393316 ONB393315:ONB393316 OWX393315:OWX393316 PGT393315:PGT393316 PQP393315:PQP393316 QAL393315:QAL393316 QKH393315:QKH393316 QUD393315:QUD393316 RDZ393315:RDZ393316 RNV393315:RNV393316 RXR393315:RXR393316 SHN393315:SHN393316 SRJ393315:SRJ393316 TBF393315:TBF393316 TLB393315:TLB393316 TUX393315:TUX393316 UET393315:UET393316 UOP393315:UOP393316 UYL393315:UYL393316 VIH393315:VIH393316 VSD393315:VSD393316 WBZ393315:WBZ393316 WLV393315:WLV393316 WVR393315:WVR393316 J458851:J458852 JF458851:JF458852 TB458851:TB458852 ACX458851:ACX458852 AMT458851:AMT458852 AWP458851:AWP458852 BGL458851:BGL458852 BQH458851:BQH458852 CAD458851:CAD458852 CJZ458851:CJZ458852 CTV458851:CTV458852 DDR458851:DDR458852 DNN458851:DNN458852 DXJ458851:DXJ458852 EHF458851:EHF458852 ERB458851:ERB458852 FAX458851:FAX458852 FKT458851:FKT458852 FUP458851:FUP458852 GEL458851:GEL458852 GOH458851:GOH458852 GYD458851:GYD458852 HHZ458851:HHZ458852 HRV458851:HRV458852 IBR458851:IBR458852 ILN458851:ILN458852 IVJ458851:IVJ458852 JFF458851:JFF458852 JPB458851:JPB458852 JYX458851:JYX458852 KIT458851:KIT458852 KSP458851:KSP458852 LCL458851:LCL458852 LMH458851:LMH458852 LWD458851:LWD458852 MFZ458851:MFZ458852 MPV458851:MPV458852 MZR458851:MZR458852 NJN458851:NJN458852 NTJ458851:NTJ458852 ODF458851:ODF458852 ONB458851:ONB458852 OWX458851:OWX458852 PGT458851:PGT458852 PQP458851:PQP458852 QAL458851:QAL458852 QKH458851:QKH458852 QUD458851:QUD458852 RDZ458851:RDZ458852 RNV458851:RNV458852 RXR458851:RXR458852 SHN458851:SHN458852 SRJ458851:SRJ458852 TBF458851:TBF458852 TLB458851:TLB458852 TUX458851:TUX458852 UET458851:UET458852 UOP458851:UOP458852 UYL458851:UYL458852 VIH458851:VIH458852 VSD458851:VSD458852 WBZ458851:WBZ458852 WLV458851:WLV458852 WVR458851:WVR458852 J524387:J524388 JF524387:JF524388 TB524387:TB524388 ACX524387:ACX524388 AMT524387:AMT524388 AWP524387:AWP524388 BGL524387:BGL524388 BQH524387:BQH524388 CAD524387:CAD524388 CJZ524387:CJZ524388 CTV524387:CTV524388 DDR524387:DDR524388 DNN524387:DNN524388 DXJ524387:DXJ524388 EHF524387:EHF524388 ERB524387:ERB524388 FAX524387:FAX524388 FKT524387:FKT524388 FUP524387:FUP524388 GEL524387:GEL524388 GOH524387:GOH524388 GYD524387:GYD524388 HHZ524387:HHZ524388 HRV524387:HRV524388 IBR524387:IBR524388 ILN524387:ILN524388 IVJ524387:IVJ524388 JFF524387:JFF524388 JPB524387:JPB524388 JYX524387:JYX524388 KIT524387:KIT524388 KSP524387:KSP524388 LCL524387:LCL524388 LMH524387:LMH524388 LWD524387:LWD524388 MFZ524387:MFZ524388 MPV524387:MPV524388 MZR524387:MZR524388 NJN524387:NJN524388 NTJ524387:NTJ524388 ODF524387:ODF524388 ONB524387:ONB524388 OWX524387:OWX524388 PGT524387:PGT524388 PQP524387:PQP524388 QAL524387:QAL524388 QKH524387:QKH524388 QUD524387:QUD524388 RDZ524387:RDZ524388 RNV524387:RNV524388 RXR524387:RXR524388 SHN524387:SHN524388 SRJ524387:SRJ524388 TBF524387:TBF524388 TLB524387:TLB524388 TUX524387:TUX524388 UET524387:UET524388 UOP524387:UOP524388 UYL524387:UYL524388 VIH524387:VIH524388 VSD524387:VSD524388 WBZ524387:WBZ524388 WLV524387:WLV524388 WVR524387:WVR524388 J589923:J589924 JF589923:JF589924 TB589923:TB589924 ACX589923:ACX589924 AMT589923:AMT589924 AWP589923:AWP589924 BGL589923:BGL589924 BQH589923:BQH589924 CAD589923:CAD589924 CJZ589923:CJZ589924 CTV589923:CTV589924 DDR589923:DDR589924 DNN589923:DNN589924 DXJ589923:DXJ589924 EHF589923:EHF589924 ERB589923:ERB589924 FAX589923:FAX589924 FKT589923:FKT589924 FUP589923:FUP589924 GEL589923:GEL589924 GOH589923:GOH589924 GYD589923:GYD589924 HHZ589923:HHZ589924 HRV589923:HRV589924 IBR589923:IBR589924 ILN589923:ILN589924 IVJ589923:IVJ589924 JFF589923:JFF589924 JPB589923:JPB589924 JYX589923:JYX589924 KIT589923:KIT589924 KSP589923:KSP589924 LCL589923:LCL589924 LMH589923:LMH589924 LWD589923:LWD589924 MFZ589923:MFZ589924 MPV589923:MPV589924 MZR589923:MZR589924 NJN589923:NJN589924 NTJ589923:NTJ589924 ODF589923:ODF589924 ONB589923:ONB589924 OWX589923:OWX589924 PGT589923:PGT589924 PQP589923:PQP589924 QAL589923:QAL589924 QKH589923:QKH589924 QUD589923:QUD589924 RDZ589923:RDZ589924 RNV589923:RNV589924 RXR589923:RXR589924 SHN589923:SHN589924 SRJ589923:SRJ589924 TBF589923:TBF589924 TLB589923:TLB589924 TUX589923:TUX589924 UET589923:UET589924 UOP589923:UOP589924 UYL589923:UYL589924 VIH589923:VIH589924 VSD589923:VSD589924 WBZ589923:WBZ589924 WLV589923:WLV589924 WVR589923:WVR589924 J655459:J655460 JF655459:JF655460 TB655459:TB655460 ACX655459:ACX655460 AMT655459:AMT655460 AWP655459:AWP655460 BGL655459:BGL655460 BQH655459:BQH655460 CAD655459:CAD655460 CJZ655459:CJZ655460 CTV655459:CTV655460 DDR655459:DDR655460 DNN655459:DNN655460 DXJ655459:DXJ655460 EHF655459:EHF655460 ERB655459:ERB655460 FAX655459:FAX655460 FKT655459:FKT655460 FUP655459:FUP655460 GEL655459:GEL655460 GOH655459:GOH655460 GYD655459:GYD655460 HHZ655459:HHZ655460 HRV655459:HRV655460 IBR655459:IBR655460 ILN655459:ILN655460 IVJ655459:IVJ655460 JFF655459:JFF655460 JPB655459:JPB655460 JYX655459:JYX655460 KIT655459:KIT655460 KSP655459:KSP655460 LCL655459:LCL655460 LMH655459:LMH655460 LWD655459:LWD655460 MFZ655459:MFZ655460 MPV655459:MPV655460 MZR655459:MZR655460 NJN655459:NJN655460 NTJ655459:NTJ655460 ODF655459:ODF655460 ONB655459:ONB655460 OWX655459:OWX655460 PGT655459:PGT655460 PQP655459:PQP655460 QAL655459:QAL655460 QKH655459:QKH655460 QUD655459:QUD655460 RDZ655459:RDZ655460 RNV655459:RNV655460 RXR655459:RXR655460 SHN655459:SHN655460 SRJ655459:SRJ655460 TBF655459:TBF655460 TLB655459:TLB655460 TUX655459:TUX655460 UET655459:UET655460 UOP655459:UOP655460 UYL655459:UYL655460 VIH655459:VIH655460 VSD655459:VSD655460 WBZ655459:WBZ655460 WLV655459:WLV655460 WVR655459:WVR655460 J720995:J720996 JF720995:JF720996 TB720995:TB720996 ACX720995:ACX720996 AMT720995:AMT720996 AWP720995:AWP720996 BGL720995:BGL720996 BQH720995:BQH720996 CAD720995:CAD720996 CJZ720995:CJZ720996 CTV720995:CTV720996 DDR720995:DDR720996 DNN720995:DNN720996 DXJ720995:DXJ720996 EHF720995:EHF720996 ERB720995:ERB720996 FAX720995:FAX720996 FKT720995:FKT720996 FUP720995:FUP720996 GEL720995:GEL720996 GOH720995:GOH720996 GYD720995:GYD720996 HHZ720995:HHZ720996 HRV720995:HRV720996 IBR720995:IBR720996 ILN720995:ILN720996 IVJ720995:IVJ720996 JFF720995:JFF720996 JPB720995:JPB720996 JYX720995:JYX720996 KIT720995:KIT720996 KSP720995:KSP720996 LCL720995:LCL720996 LMH720995:LMH720996 LWD720995:LWD720996 MFZ720995:MFZ720996 MPV720995:MPV720996 MZR720995:MZR720996 NJN720995:NJN720996 NTJ720995:NTJ720996 ODF720995:ODF720996 ONB720995:ONB720996 OWX720995:OWX720996 PGT720995:PGT720996 PQP720995:PQP720996 QAL720995:QAL720996 QKH720995:QKH720996 QUD720995:QUD720996 RDZ720995:RDZ720996 RNV720995:RNV720996 RXR720995:RXR720996 SHN720995:SHN720996 SRJ720995:SRJ720996 TBF720995:TBF720996 TLB720995:TLB720996 TUX720995:TUX720996 UET720995:UET720996 UOP720995:UOP720996 UYL720995:UYL720996 VIH720995:VIH720996 VSD720995:VSD720996 WBZ720995:WBZ720996 WLV720995:WLV720996 WVR720995:WVR720996 J786531:J786532 JF786531:JF786532 TB786531:TB786532 ACX786531:ACX786532 AMT786531:AMT786532 AWP786531:AWP786532 BGL786531:BGL786532 BQH786531:BQH786532 CAD786531:CAD786532 CJZ786531:CJZ786532 CTV786531:CTV786532 DDR786531:DDR786532 DNN786531:DNN786532 DXJ786531:DXJ786532 EHF786531:EHF786532 ERB786531:ERB786532 FAX786531:FAX786532 FKT786531:FKT786532 FUP786531:FUP786532 GEL786531:GEL786532 GOH786531:GOH786532 GYD786531:GYD786532 HHZ786531:HHZ786532 HRV786531:HRV786532 IBR786531:IBR786532 ILN786531:ILN786532 IVJ786531:IVJ786532 JFF786531:JFF786532 JPB786531:JPB786532 JYX786531:JYX786532 KIT786531:KIT786532 KSP786531:KSP786532 LCL786531:LCL786532 LMH786531:LMH786532 LWD786531:LWD786532 MFZ786531:MFZ786532 MPV786531:MPV786532 MZR786531:MZR786532 NJN786531:NJN786532 NTJ786531:NTJ786532 ODF786531:ODF786532 ONB786531:ONB786532 OWX786531:OWX786532 PGT786531:PGT786532 PQP786531:PQP786532 QAL786531:QAL786532 QKH786531:QKH786532 QUD786531:QUD786532 RDZ786531:RDZ786532 RNV786531:RNV786532 RXR786531:RXR786532 SHN786531:SHN786532 SRJ786531:SRJ786532 TBF786531:TBF786532 TLB786531:TLB786532 TUX786531:TUX786532 UET786531:UET786532 UOP786531:UOP786532 UYL786531:UYL786532 VIH786531:VIH786532 VSD786531:VSD786532 WBZ786531:WBZ786532 WLV786531:WLV786532 WVR786531:WVR786532 J852067:J852068 JF852067:JF852068 TB852067:TB852068 ACX852067:ACX852068 AMT852067:AMT852068 AWP852067:AWP852068 BGL852067:BGL852068 BQH852067:BQH852068 CAD852067:CAD852068 CJZ852067:CJZ852068 CTV852067:CTV852068 DDR852067:DDR852068 DNN852067:DNN852068 DXJ852067:DXJ852068 EHF852067:EHF852068 ERB852067:ERB852068 FAX852067:FAX852068 FKT852067:FKT852068 FUP852067:FUP852068 GEL852067:GEL852068 GOH852067:GOH852068 GYD852067:GYD852068 HHZ852067:HHZ852068 HRV852067:HRV852068 IBR852067:IBR852068 ILN852067:ILN852068 IVJ852067:IVJ852068 JFF852067:JFF852068 JPB852067:JPB852068 JYX852067:JYX852068 KIT852067:KIT852068 KSP852067:KSP852068 LCL852067:LCL852068 LMH852067:LMH852068 LWD852067:LWD852068 MFZ852067:MFZ852068 MPV852067:MPV852068 MZR852067:MZR852068 NJN852067:NJN852068 NTJ852067:NTJ852068 ODF852067:ODF852068 ONB852067:ONB852068 OWX852067:OWX852068 PGT852067:PGT852068 PQP852067:PQP852068 QAL852067:QAL852068 QKH852067:QKH852068 QUD852067:QUD852068 RDZ852067:RDZ852068 RNV852067:RNV852068 RXR852067:RXR852068 SHN852067:SHN852068 SRJ852067:SRJ852068 TBF852067:TBF852068 TLB852067:TLB852068 TUX852067:TUX852068 UET852067:UET852068 UOP852067:UOP852068 UYL852067:UYL852068 VIH852067:VIH852068 VSD852067:VSD852068 WBZ852067:WBZ852068 WLV852067:WLV852068 WVR852067:WVR852068 J917603:J917604 JF917603:JF917604 TB917603:TB917604 ACX917603:ACX917604 AMT917603:AMT917604 AWP917603:AWP917604 BGL917603:BGL917604 BQH917603:BQH917604 CAD917603:CAD917604 CJZ917603:CJZ917604 CTV917603:CTV917604 DDR917603:DDR917604 DNN917603:DNN917604 DXJ917603:DXJ917604 EHF917603:EHF917604 ERB917603:ERB917604 FAX917603:FAX917604 FKT917603:FKT917604 FUP917603:FUP917604 GEL917603:GEL917604 GOH917603:GOH917604 GYD917603:GYD917604 HHZ917603:HHZ917604 HRV917603:HRV917604 IBR917603:IBR917604 ILN917603:ILN917604 IVJ917603:IVJ917604 JFF917603:JFF917604 JPB917603:JPB917604 JYX917603:JYX917604 KIT917603:KIT917604 KSP917603:KSP917604 LCL917603:LCL917604 LMH917603:LMH917604 LWD917603:LWD917604 MFZ917603:MFZ917604 MPV917603:MPV917604 MZR917603:MZR917604 NJN917603:NJN917604 NTJ917603:NTJ917604 ODF917603:ODF917604 ONB917603:ONB917604 OWX917603:OWX917604 PGT917603:PGT917604 PQP917603:PQP917604 QAL917603:QAL917604 QKH917603:QKH917604 QUD917603:QUD917604 RDZ917603:RDZ917604 RNV917603:RNV917604 RXR917603:RXR917604 SHN917603:SHN917604 SRJ917603:SRJ917604 TBF917603:TBF917604 TLB917603:TLB917604 TUX917603:TUX917604 UET917603:UET917604 UOP917603:UOP917604 UYL917603:UYL917604 VIH917603:VIH917604 VSD917603:VSD917604 WBZ917603:WBZ917604 WLV917603:WLV917604 WVR917603:WVR917604 J983139:J983140 JF983139:JF983140 TB983139:TB983140 ACX983139:ACX983140 AMT983139:AMT983140 AWP983139:AWP983140 BGL983139:BGL983140 BQH983139:BQH983140 CAD983139:CAD983140 CJZ983139:CJZ983140 CTV983139:CTV983140 DDR983139:DDR983140 DNN983139:DNN983140 DXJ983139:DXJ983140 EHF983139:EHF983140 ERB983139:ERB983140 FAX983139:FAX983140 FKT983139:FKT983140 FUP983139:FUP983140 GEL983139:GEL983140 GOH983139:GOH983140 GYD983139:GYD983140 HHZ983139:HHZ983140 HRV983139:HRV983140 IBR983139:IBR983140 ILN983139:ILN983140 IVJ983139:IVJ983140 JFF983139:JFF983140 JPB983139:JPB983140 JYX983139:JYX983140 KIT983139:KIT983140 KSP983139:KSP983140 LCL983139:LCL983140 LMH983139:LMH983140 LWD983139:LWD983140 MFZ983139:MFZ983140 MPV983139:MPV983140 MZR983139:MZR983140 NJN983139:NJN983140 NTJ983139:NTJ983140 ODF983139:ODF983140 ONB983139:ONB983140 OWX983139:OWX983140 PGT983139:PGT983140 PQP983139:PQP983140 QAL983139:QAL983140 QKH983139:QKH983140 QUD983139:QUD983140 RDZ983139:RDZ983140 RNV983139:RNV983140 RXR983139:RXR983140 SHN983139:SHN983140 SRJ983139:SRJ983140 TBF983139:TBF983140 TLB983139:TLB983140 TUX983139:TUX983140 UET983139:UET983140 UOP983139:UOP983140 UYL983139:UYL983140 VIH983139:VIH983140 VSD983139:VSD983140 WBZ983139:WBZ983140 WLV983139:WLV983140 WVR983139:WVR983140 WVR983134:WVR983135 JF94:JF95 TB94:TB95 ACX94:ACX95 AMT94:AMT95 AWP94:AWP95 BGL94:BGL95 BQH94:BQH95 CAD94:CAD95 CJZ94:CJZ95 CTV94:CTV95 DDR94:DDR95 DNN94:DNN95 DXJ94:DXJ95 EHF94:EHF95 ERB94:ERB95 FAX94:FAX95 FKT94:FKT95 FUP94:FUP95 GEL94:GEL95 GOH94:GOH95 GYD94:GYD95 HHZ94:HHZ95 HRV94:HRV95 IBR94:IBR95 ILN94:ILN95 IVJ94:IVJ95 JFF94:JFF95 JPB94:JPB95 JYX94:JYX95 KIT94:KIT95 KSP94:KSP95 LCL94:LCL95 LMH94:LMH95 LWD94:LWD95 MFZ94:MFZ95 MPV94:MPV95 MZR94:MZR95 NJN94:NJN95 NTJ94:NTJ95 ODF94:ODF95 ONB94:ONB95 OWX94:OWX95 PGT94:PGT95 PQP94:PQP95 QAL94:QAL95 QKH94:QKH95 QUD94:QUD95 RDZ94:RDZ95 RNV94:RNV95 RXR94:RXR95 SHN94:SHN95 SRJ94:SRJ95 TBF94:TBF95 TLB94:TLB95 TUX94:TUX95 UET94:UET95 UOP94:UOP95 UYL94:UYL95 VIH94:VIH95 VSD94:VSD95 WBZ94:WBZ95 WLV94:WLV95 WVR94:WVR95 J65630:J65631 JF65630:JF65631 TB65630:TB65631 ACX65630:ACX65631 AMT65630:AMT65631 AWP65630:AWP65631 BGL65630:BGL65631 BQH65630:BQH65631 CAD65630:CAD65631 CJZ65630:CJZ65631 CTV65630:CTV65631 DDR65630:DDR65631 DNN65630:DNN65631 DXJ65630:DXJ65631 EHF65630:EHF65631 ERB65630:ERB65631 FAX65630:FAX65631 FKT65630:FKT65631 FUP65630:FUP65631 GEL65630:GEL65631 GOH65630:GOH65631 GYD65630:GYD65631 HHZ65630:HHZ65631 HRV65630:HRV65631 IBR65630:IBR65631 ILN65630:ILN65631 IVJ65630:IVJ65631 JFF65630:JFF65631 JPB65630:JPB65631 JYX65630:JYX65631 KIT65630:KIT65631 KSP65630:KSP65631 LCL65630:LCL65631 LMH65630:LMH65631 LWD65630:LWD65631 MFZ65630:MFZ65631 MPV65630:MPV65631 MZR65630:MZR65631 NJN65630:NJN65631 NTJ65630:NTJ65631 ODF65630:ODF65631 ONB65630:ONB65631 OWX65630:OWX65631 PGT65630:PGT65631 PQP65630:PQP65631 QAL65630:QAL65631 QKH65630:QKH65631 QUD65630:QUD65631 RDZ65630:RDZ65631 RNV65630:RNV65631 RXR65630:RXR65631 SHN65630:SHN65631 SRJ65630:SRJ65631 TBF65630:TBF65631 TLB65630:TLB65631 TUX65630:TUX65631 UET65630:UET65631 UOP65630:UOP65631 UYL65630:UYL65631 VIH65630:VIH65631 VSD65630:VSD65631 WBZ65630:WBZ65631 WLV65630:WLV65631 WVR65630:WVR65631 J131166:J131167 JF131166:JF131167 TB131166:TB131167 ACX131166:ACX131167 AMT131166:AMT131167 AWP131166:AWP131167 BGL131166:BGL131167 BQH131166:BQH131167 CAD131166:CAD131167 CJZ131166:CJZ131167 CTV131166:CTV131167 DDR131166:DDR131167 DNN131166:DNN131167 DXJ131166:DXJ131167 EHF131166:EHF131167 ERB131166:ERB131167 FAX131166:FAX131167 FKT131166:FKT131167 FUP131166:FUP131167 GEL131166:GEL131167 GOH131166:GOH131167 GYD131166:GYD131167 HHZ131166:HHZ131167 HRV131166:HRV131167 IBR131166:IBR131167 ILN131166:ILN131167 IVJ131166:IVJ131167 JFF131166:JFF131167 JPB131166:JPB131167 JYX131166:JYX131167 KIT131166:KIT131167 KSP131166:KSP131167 LCL131166:LCL131167 LMH131166:LMH131167 LWD131166:LWD131167 MFZ131166:MFZ131167 MPV131166:MPV131167 MZR131166:MZR131167 NJN131166:NJN131167 NTJ131166:NTJ131167 ODF131166:ODF131167 ONB131166:ONB131167 OWX131166:OWX131167 PGT131166:PGT131167 PQP131166:PQP131167 QAL131166:QAL131167 QKH131166:QKH131167 QUD131166:QUD131167 RDZ131166:RDZ131167 RNV131166:RNV131167 RXR131166:RXR131167 SHN131166:SHN131167 SRJ131166:SRJ131167 TBF131166:TBF131167 TLB131166:TLB131167 TUX131166:TUX131167 UET131166:UET131167 UOP131166:UOP131167 UYL131166:UYL131167 VIH131166:VIH131167 VSD131166:VSD131167 WBZ131166:WBZ131167 WLV131166:WLV131167 WVR131166:WVR131167 J196702:J196703 JF196702:JF196703 TB196702:TB196703 ACX196702:ACX196703 AMT196702:AMT196703 AWP196702:AWP196703 BGL196702:BGL196703 BQH196702:BQH196703 CAD196702:CAD196703 CJZ196702:CJZ196703 CTV196702:CTV196703 DDR196702:DDR196703 DNN196702:DNN196703 DXJ196702:DXJ196703 EHF196702:EHF196703 ERB196702:ERB196703 FAX196702:FAX196703 FKT196702:FKT196703 FUP196702:FUP196703 GEL196702:GEL196703 GOH196702:GOH196703 GYD196702:GYD196703 HHZ196702:HHZ196703 HRV196702:HRV196703 IBR196702:IBR196703 ILN196702:ILN196703 IVJ196702:IVJ196703 JFF196702:JFF196703 JPB196702:JPB196703 JYX196702:JYX196703 KIT196702:KIT196703 KSP196702:KSP196703 LCL196702:LCL196703 LMH196702:LMH196703 LWD196702:LWD196703 MFZ196702:MFZ196703 MPV196702:MPV196703 MZR196702:MZR196703 NJN196702:NJN196703 NTJ196702:NTJ196703 ODF196702:ODF196703 ONB196702:ONB196703 OWX196702:OWX196703 PGT196702:PGT196703 PQP196702:PQP196703 QAL196702:QAL196703 QKH196702:QKH196703 QUD196702:QUD196703 RDZ196702:RDZ196703 RNV196702:RNV196703 RXR196702:RXR196703 SHN196702:SHN196703 SRJ196702:SRJ196703 TBF196702:TBF196703 TLB196702:TLB196703 TUX196702:TUX196703 UET196702:UET196703 UOP196702:UOP196703 UYL196702:UYL196703 VIH196702:VIH196703 VSD196702:VSD196703 WBZ196702:WBZ196703 WLV196702:WLV196703 WVR196702:WVR196703 J262238:J262239 JF262238:JF262239 TB262238:TB262239 ACX262238:ACX262239 AMT262238:AMT262239 AWP262238:AWP262239 BGL262238:BGL262239 BQH262238:BQH262239 CAD262238:CAD262239 CJZ262238:CJZ262239 CTV262238:CTV262239 DDR262238:DDR262239 DNN262238:DNN262239 DXJ262238:DXJ262239 EHF262238:EHF262239 ERB262238:ERB262239 FAX262238:FAX262239 FKT262238:FKT262239 FUP262238:FUP262239 GEL262238:GEL262239 GOH262238:GOH262239 GYD262238:GYD262239 HHZ262238:HHZ262239 HRV262238:HRV262239 IBR262238:IBR262239 ILN262238:ILN262239 IVJ262238:IVJ262239 JFF262238:JFF262239 JPB262238:JPB262239 JYX262238:JYX262239 KIT262238:KIT262239 KSP262238:KSP262239 LCL262238:LCL262239 LMH262238:LMH262239 LWD262238:LWD262239 MFZ262238:MFZ262239 MPV262238:MPV262239 MZR262238:MZR262239 NJN262238:NJN262239 NTJ262238:NTJ262239 ODF262238:ODF262239 ONB262238:ONB262239 OWX262238:OWX262239 PGT262238:PGT262239 PQP262238:PQP262239 QAL262238:QAL262239 QKH262238:QKH262239 QUD262238:QUD262239 RDZ262238:RDZ262239 RNV262238:RNV262239 RXR262238:RXR262239 SHN262238:SHN262239 SRJ262238:SRJ262239 TBF262238:TBF262239 TLB262238:TLB262239 TUX262238:TUX262239 UET262238:UET262239 UOP262238:UOP262239 UYL262238:UYL262239 VIH262238:VIH262239 VSD262238:VSD262239 WBZ262238:WBZ262239 WLV262238:WLV262239 WVR262238:WVR262239 J327774:J327775 JF327774:JF327775 TB327774:TB327775 ACX327774:ACX327775 AMT327774:AMT327775 AWP327774:AWP327775 BGL327774:BGL327775 BQH327774:BQH327775 CAD327774:CAD327775 CJZ327774:CJZ327775 CTV327774:CTV327775 DDR327774:DDR327775 DNN327774:DNN327775 DXJ327774:DXJ327775 EHF327774:EHF327775 ERB327774:ERB327775 FAX327774:FAX327775 FKT327774:FKT327775 FUP327774:FUP327775 GEL327774:GEL327775 GOH327774:GOH327775 GYD327774:GYD327775 HHZ327774:HHZ327775 HRV327774:HRV327775 IBR327774:IBR327775 ILN327774:ILN327775 IVJ327774:IVJ327775 JFF327774:JFF327775 JPB327774:JPB327775 JYX327774:JYX327775 KIT327774:KIT327775 KSP327774:KSP327775 LCL327774:LCL327775 LMH327774:LMH327775 LWD327774:LWD327775 MFZ327774:MFZ327775 MPV327774:MPV327775 MZR327774:MZR327775 NJN327774:NJN327775 NTJ327774:NTJ327775 ODF327774:ODF327775 ONB327774:ONB327775 OWX327774:OWX327775 PGT327774:PGT327775 PQP327774:PQP327775 QAL327774:QAL327775 QKH327774:QKH327775 QUD327774:QUD327775 RDZ327774:RDZ327775 RNV327774:RNV327775 RXR327774:RXR327775 SHN327774:SHN327775 SRJ327774:SRJ327775 TBF327774:TBF327775 TLB327774:TLB327775 TUX327774:TUX327775 UET327774:UET327775 UOP327774:UOP327775 UYL327774:UYL327775 VIH327774:VIH327775 VSD327774:VSD327775 WBZ327774:WBZ327775 WLV327774:WLV327775 WVR327774:WVR327775 J393310:J393311 JF393310:JF393311 TB393310:TB393311 ACX393310:ACX393311 AMT393310:AMT393311 AWP393310:AWP393311 BGL393310:BGL393311 BQH393310:BQH393311 CAD393310:CAD393311 CJZ393310:CJZ393311 CTV393310:CTV393311 DDR393310:DDR393311 DNN393310:DNN393311 DXJ393310:DXJ393311 EHF393310:EHF393311 ERB393310:ERB393311 FAX393310:FAX393311 FKT393310:FKT393311 FUP393310:FUP393311 GEL393310:GEL393311 GOH393310:GOH393311 GYD393310:GYD393311 HHZ393310:HHZ393311 HRV393310:HRV393311 IBR393310:IBR393311 ILN393310:ILN393311 IVJ393310:IVJ393311 JFF393310:JFF393311 JPB393310:JPB393311 JYX393310:JYX393311 KIT393310:KIT393311 KSP393310:KSP393311 LCL393310:LCL393311 LMH393310:LMH393311 LWD393310:LWD393311 MFZ393310:MFZ393311 MPV393310:MPV393311 MZR393310:MZR393311 NJN393310:NJN393311 NTJ393310:NTJ393311 ODF393310:ODF393311 ONB393310:ONB393311 OWX393310:OWX393311 PGT393310:PGT393311 PQP393310:PQP393311 QAL393310:QAL393311 QKH393310:QKH393311 QUD393310:QUD393311 RDZ393310:RDZ393311 RNV393310:RNV393311 RXR393310:RXR393311 SHN393310:SHN393311 SRJ393310:SRJ393311 TBF393310:TBF393311 TLB393310:TLB393311 TUX393310:TUX393311 UET393310:UET393311 UOP393310:UOP393311 UYL393310:UYL393311 VIH393310:VIH393311 VSD393310:VSD393311 WBZ393310:WBZ393311 WLV393310:WLV393311 WVR393310:WVR393311 J458846:J458847 JF458846:JF458847 TB458846:TB458847 ACX458846:ACX458847 AMT458846:AMT458847 AWP458846:AWP458847 BGL458846:BGL458847 BQH458846:BQH458847 CAD458846:CAD458847 CJZ458846:CJZ458847 CTV458846:CTV458847 DDR458846:DDR458847 DNN458846:DNN458847 DXJ458846:DXJ458847 EHF458846:EHF458847 ERB458846:ERB458847 FAX458846:FAX458847 FKT458846:FKT458847 FUP458846:FUP458847 GEL458846:GEL458847 GOH458846:GOH458847 GYD458846:GYD458847 HHZ458846:HHZ458847 HRV458846:HRV458847 IBR458846:IBR458847 ILN458846:ILN458847 IVJ458846:IVJ458847 JFF458846:JFF458847 JPB458846:JPB458847 JYX458846:JYX458847 KIT458846:KIT458847 KSP458846:KSP458847 LCL458846:LCL458847 LMH458846:LMH458847 LWD458846:LWD458847 MFZ458846:MFZ458847 MPV458846:MPV458847 MZR458846:MZR458847 NJN458846:NJN458847 NTJ458846:NTJ458847 ODF458846:ODF458847 ONB458846:ONB458847 OWX458846:OWX458847 PGT458846:PGT458847 PQP458846:PQP458847 QAL458846:QAL458847 QKH458846:QKH458847 QUD458846:QUD458847 RDZ458846:RDZ458847 RNV458846:RNV458847 RXR458846:RXR458847 SHN458846:SHN458847 SRJ458846:SRJ458847 TBF458846:TBF458847 TLB458846:TLB458847 TUX458846:TUX458847 UET458846:UET458847 UOP458846:UOP458847 UYL458846:UYL458847 VIH458846:VIH458847 VSD458846:VSD458847 WBZ458846:WBZ458847 WLV458846:WLV458847 WVR458846:WVR458847 J524382:J524383 JF524382:JF524383 TB524382:TB524383 ACX524382:ACX524383 AMT524382:AMT524383 AWP524382:AWP524383 BGL524382:BGL524383 BQH524382:BQH524383 CAD524382:CAD524383 CJZ524382:CJZ524383 CTV524382:CTV524383 DDR524382:DDR524383 DNN524382:DNN524383 DXJ524382:DXJ524383 EHF524382:EHF524383 ERB524382:ERB524383 FAX524382:FAX524383 FKT524382:FKT524383 FUP524382:FUP524383 GEL524382:GEL524383 GOH524382:GOH524383 GYD524382:GYD524383 HHZ524382:HHZ524383 HRV524382:HRV524383 IBR524382:IBR524383 ILN524382:ILN524383 IVJ524382:IVJ524383 JFF524382:JFF524383 JPB524382:JPB524383 JYX524382:JYX524383 KIT524382:KIT524383 KSP524382:KSP524383 LCL524382:LCL524383 LMH524382:LMH524383 LWD524382:LWD524383 MFZ524382:MFZ524383 MPV524382:MPV524383 MZR524382:MZR524383 NJN524382:NJN524383 NTJ524382:NTJ524383 ODF524382:ODF524383 ONB524382:ONB524383 OWX524382:OWX524383 PGT524382:PGT524383 PQP524382:PQP524383 QAL524382:QAL524383 QKH524382:QKH524383 QUD524382:QUD524383 RDZ524382:RDZ524383 RNV524382:RNV524383 RXR524382:RXR524383 SHN524382:SHN524383 SRJ524382:SRJ524383 TBF524382:TBF524383 TLB524382:TLB524383 TUX524382:TUX524383 UET524382:UET524383 UOP524382:UOP524383 UYL524382:UYL524383 VIH524382:VIH524383 VSD524382:VSD524383 WBZ524382:WBZ524383 WLV524382:WLV524383 WVR524382:WVR524383 J589918:J589919 JF589918:JF589919 TB589918:TB589919 ACX589918:ACX589919 AMT589918:AMT589919 AWP589918:AWP589919 BGL589918:BGL589919 BQH589918:BQH589919 CAD589918:CAD589919 CJZ589918:CJZ589919 CTV589918:CTV589919 DDR589918:DDR589919 DNN589918:DNN589919 DXJ589918:DXJ589919 EHF589918:EHF589919 ERB589918:ERB589919 FAX589918:FAX589919 FKT589918:FKT589919 FUP589918:FUP589919 GEL589918:GEL589919 GOH589918:GOH589919 GYD589918:GYD589919 HHZ589918:HHZ589919 HRV589918:HRV589919 IBR589918:IBR589919 ILN589918:ILN589919 IVJ589918:IVJ589919 JFF589918:JFF589919 JPB589918:JPB589919 JYX589918:JYX589919 KIT589918:KIT589919 KSP589918:KSP589919 LCL589918:LCL589919 LMH589918:LMH589919 LWD589918:LWD589919 MFZ589918:MFZ589919 MPV589918:MPV589919 MZR589918:MZR589919 NJN589918:NJN589919 NTJ589918:NTJ589919 ODF589918:ODF589919 ONB589918:ONB589919 OWX589918:OWX589919 PGT589918:PGT589919 PQP589918:PQP589919 QAL589918:QAL589919 QKH589918:QKH589919 QUD589918:QUD589919 RDZ589918:RDZ589919 RNV589918:RNV589919 RXR589918:RXR589919 SHN589918:SHN589919 SRJ589918:SRJ589919 TBF589918:TBF589919 TLB589918:TLB589919 TUX589918:TUX589919 UET589918:UET589919 UOP589918:UOP589919 UYL589918:UYL589919 VIH589918:VIH589919 VSD589918:VSD589919 WBZ589918:WBZ589919 WLV589918:WLV589919 WVR589918:WVR589919 J655454:J655455 JF655454:JF655455 TB655454:TB655455 ACX655454:ACX655455 AMT655454:AMT655455 AWP655454:AWP655455 BGL655454:BGL655455 BQH655454:BQH655455 CAD655454:CAD655455 CJZ655454:CJZ655455 CTV655454:CTV655455 DDR655454:DDR655455 DNN655454:DNN655455 DXJ655454:DXJ655455 EHF655454:EHF655455 ERB655454:ERB655455 FAX655454:FAX655455 FKT655454:FKT655455 FUP655454:FUP655455 GEL655454:GEL655455 GOH655454:GOH655455 GYD655454:GYD655455 HHZ655454:HHZ655455 HRV655454:HRV655455 IBR655454:IBR655455 ILN655454:ILN655455 IVJ655454:IVJ655455 JFF655454:JFF655455 JPB655454:JPB655455 JYX655454:JYX655455 KIT655454:KIT655455 KSP655454:KSP655455 LCL655454:LCL655455 LMH655454:LMH655455 LWD655454:LWD655455 MFZ655454:MFZ655455 MPV655454:MPV655455 MZR655454:MZR655455 NJN655454:NJN655455 NTJ655454:NTJ655455 ODF655454:ODF655455 ONB655454:ONB655455 OWX655454:OWX655455 PGT655454:PGT655455 PQP655454:PQP655455 QAL655454:QAL655455 QKH655454:QKH655455 QUD655454:QUD655455 RDZ655454:RDZ655455 RNV655454:RNV655455 RXR655454:RXR655455 SHN655454:SHN655455 SRJ655454:SRJ655455 TBF655454:TBF655455 TLB655454:TLB655455 TUX655454:TUX655455 UET655454:UET655455 UOP655454:UOP655455 UYL655454:UYL655455 VIH655454:VIH655455 VSD655454:VSD655455 WBZ655454:WBZ655455 WLV655454:WLV655455 WVR655454:WVR655455 J720990:J720991 JF720990:JF720991 TB720990:TB720991 ACX720990:ACX720991 AMT720990:AMT720991 AWP720990:AWP720991 BGL720990:BGL720991 BQH720990:BQH720991 CAD720990:CAD720991 CJZ720990:CJZ720991 CTV720990:CTV720991 DDR720990:DDR720991 DNN720990:DNN720991 DXJ720990:DXJ720991 EHF720990:EHF720991 ERB720990:ERB720991 FAX720990:FAX720991 FKT720990:FKT720991 FUP720990:FUP720991 GEL720990:GEL720991 GOH720990:GOH720991 GYD720990:GYD720991 HHZ720990:HHZ720991 HRV720990:HRV720991 IBR720990:IBR720991 ILN720990:ILN720991 IVJ720990:IVJ720991 JFF720990:JFF720991 JPB720990:JPB720991 JYX720990:JYX720991 KIT720990:KIT720991 KSP720990:KSP720991 LCL720990:LCL720991 LMH720990:LMH720991 LWD720990:LWD720991 MFZ720990:MFZ720991 MPV720990:MPV720991 MZR720990:MZR720991 NJN720990:NJN720991 NTJ720990:NTJ720991 ODF720990:ODF720991 ONB720990:ONB720991 OWX720990:OWX720991 PGT720990:PGT720991 PQP720990:PQP720991 QAL720990:QAL720991 QKH720990:QKH720991 QUD720990:QUD720991 RDZ720990:RDZ720991 RNV720990:RNV720991 RXR720990:RXR720991 SHN720990:SHN720991 SRJ720990:SRJ720991 TBF720990:TBF720991 TLB720990:TLB720991 TUX720990:TUX720991 UET720990:UET720991 UOP720990:UOP720991 UYL720990:UYL720991 VIH720990:VIH720991 VSD720990:VSD720991 WBZ720990:WBZ720991 WLV720990:WLV720991 WVR720990:WVR720991 J786526:J786527 JF786526:JF786527 TB786526:TB786527 ACX786526:ACX786527 AMT786526:AMT786527 AWP786526:AWP786527 BGL786526:BGL786527 BQH786526:BQH786527 CAD786526:CAD786527 CJZ786526:CJZ786527 CTV786526:CTV786527 DDR786526:DDR786527 DNN786526:DNN786527 DXJ786526:DXJ786527 EHF786526:EHF786527 ERB786526:ERB786527 FAX786526:FAX786527 FKT786526:FKT786527 FUP786526:FUP786527 GEL786526:GEL786527 GOH786526:GOH786527 GYD786526:GYD786527 HHZ786526:HHZ786527 HRV786526:HRV786527 IBR786526:IBR786527 ILN786526:ILN786527 IVJ786526:IVJ786527 JFF786526:JFF786527 JPB786526:JPB786527 JYX786526:JYX786527 KIT786526:KIT786527 KSP786526:KSP786527 LCL786526:LCL786527 LMH786526:LMH786527 LWD786526:LWD786527 MFZ786526:MFZ786527 MPV786526:MPV786527 MZR786526:MZR786527 NJN786526:NJN786527 NTJ786526:NTJ786527 ODF786526:ODF786527 ONB786526:ONB786527 OWX786526:OWX786527 PGT786526:PGT786527 PQP786526:PQP786527 QAL786526:QAL786527 QKH786526:QKH786527 QUD786526:QUD786527 RDZ786526:RDZ786527 RNV786526:RNV786527 RXR786526:RXR786527 SHN786526:SHN786527 SRJ786526:SRJ786527 TBF786526:TBF786527 TLB786526:TLB786527 TUX786526:TUX786527 UET786526:UET786527 UOP786526:UOP786527 UYL786526:UYL786527 VIH786526:VIH786527 VSD786526:VSD786527 WBZ786526:WBZ786527 WLV786526:WLV786527 WVR786526:WVR786527 J852062:J852063 JF852062:JF852063 TB852062:TB852063 ACX852062:ACX852063 AMT852062:AMT852063 AWP852062:AWP852063 BGL852062:BGL852063 BQH852062:BQH852063 CAD852062:CAD852063 CJZ852062:CJZ852063 CTV852062:CTV852063 DDR852062:DDR852063 DNN852062:DNN852063 DXJ852062:DXJ852063 EHF852062:EHF852063 ERB852062:ERB852063 FAX852062:FAX852063 FKT852062:FKT852063 FUP852062:FUP852063 GEL852062:GEL852063 GOH852062:GOH852063 GYD852062:GYD852063 HHZ852062:HHZ852063 HRV852062:HRV852063 IBR852062:IBR852063 ILN852062:ILN852063 IVJ852062:IVJ852063 JFF852062:JFF852063 JPB852062:JPB852063 JYX852062:JYX852063 KIT852062:KIT852063 KSP852062:KSP852063 LCL852062:LCL852063 LMH852062:LMH852063 LWD852062:LWD852063 MFZ852062:MFZ852063 MPV852062:MPV852063 MZR852062:MZR852063 NJN852062:NJN852063 NTJ852062:NTJ852063 ODF852062:ODF852063 ONB852062:ONB852063 OWX852062:OWX852063 PGT852062:PGT852063 PQP852062:PQP852063 QAL852062:QAL852063 QKH852062:QKH852063 QUD852062:QUD852063 RDZ852062:RDZ852063 RNV852062:RNV852063 RXR852062:RXR852063 SHN852062:SHN852063 SRJ852062:SRJ852063 TBF852062:TBF852063 TLB852062:TLB852063 TUX852062:TUX852063 UET852062:UET852063 UOP852062:UOP852063 UYL852062:UYL852063 VIH852062:VIH852063 VSD852062:VSD852063 WBZ852062:WBZ852063 WLV852062:WLV852063 WVR852062:WVR852063 J917598:J917599 JF917598:JF917599 TB917598:TB917599 ACX917598:ACX917599 AMT917598:AMT917599 AWP917598:AWP917599 BGL917598:BGL917599 BQH917598:BQH917599 CAD917598:CAD917599 CJZ917598:CJZ917599 CTV917598:CTV917599 DDR917598:DDR917599 DNN917598:DNN917599 DXJ917598:DXJ917599 EHF917598:EHF917599 ERB917598:ERB917599 FAX917598:FAX917599 FKT917598:FKT917599 FUP917598:FUP917599 GEL917598:GEL917599 GOH917598:GOH917599 GYD917598:GYD917599 HHZ917598:HHZ917599 HRV917598:HRV917599 IBR917598:IBR917599 ILN917598:ILN917599 IVJ917598:IVJ917599 JFF917598:JFF917599 JPB917598:JPB917599 JYX917598:JYX917599 KIT917598:KIT917599 KSP917598:KSP917599 LCL917598:LCL917599 LMH917598:LMH917599 LWD917598:LWD917599 MFZ917598:MFZ917599 MPV917598:MPV917599 MZR917598:MZR917599 NJN917598:NJN917599 NTJ917598:NTJ917599 ODF917598:ODF917599 ONB917598:ONB917599 OWX917598:OWX917599 PGT917598:PGT917599 PQP917598:PQP917599 QAL917598:QAL917599 QKH917598:QKH917599 QUD917598:QUD917599 RDZ917598:RDZ917599 RNV917598:RNV917599 RXR917598:RXR917599 SHN917598:SHN917599 SRJ917598:SRJ917599 TBF917598:TBF917599 TLB917598:TLB917599 TUX917598:TUX917599 UET917598:UET917599 UOP917598:UOP917599 UYL917598:UYL917599 VIH917598:VIH917599 VSD917598:VSD917599 WBZ917598:WBZ917599 WLV917598:WLV917599 WVR917598:WVR917599 J983134:J983135 JF983134:JF983135 TB983134:TB983135 ACX983134:ACX983135 AMT983134:AMT983135 AWP983134:AWP983135 BGL983134:BGL983135 BQH983134:BQH983135 CAD983134:CAD983135 CJZ983134:CJZ983135 CTV983134:CTV983135 DDR983134:DDR983135 DNN983134:DNN983135 DXJ983134:DXJ983135 EHF983134:EHF983135 ERB983134:ERB983135 FAX983134:FAX983135 FKT983134:FKT983135 FUP983134:FUP983135 GEL983134:GEL983135 GOH983134:GOH983135 GYD983134:GYD983135 HHZ983134:HHZ983135 HRV983134:HRV983135 IBR983134:IBR983135 ILN983134:ILN983135 IVJ983134:IVJ983135 JFF983134:JFF983135 JPB983134:JPB983135 JYX983134:JYX983135 KIT983134:KIT983135 KSP983134:KSP983135 LCL983134:LCL983135 LMH983134:LMH983135 LWD983134:LWD983135 MFZ983134:MFZ983135 MPV983134:MPV983135 MZR983134:MZR983135 NJN983134:NJN983135 NTJ983134:NTJ983135 ODF983134:ODF983135 ONB983134:ONB983135 OWX983134:OWX983135 PGT983134:PGT983135 PQP983134:PQP983135 QAL983134:QAL983135 QKH983134:QKH983135 QUD983134:QUD983135 RDZ983134:RDZ983135 RNV983134:RNV983135 RXR983134:RXR983135 SHN983134:SHN983135 SRJ983134:SRJ983135 TBF983134:TBF983135 TLB983134:TLB983135 TUX983134:TUX983135 UET983134:UET983135 UOP983134:UOP983135 UYL983134:UYL983135 VIH983134:VIH983135 VSD983134:VSD983135 WBZ983134:WBZ983135 WLV983134:WLV983135" xr:uid="{00000000-0002-0000-0200-000001000000}">
      <formula1>0</formula1>
    </dataValidation>
    <dataValidation type="list" allowBlank="1" showInputMessage="1" showErrorMessage="1" sqref="WVS983051:WVS983052 JG9:JG10 TC9:TC10 ACY9:ACY10 AMU9:AMU10 AWQ9:AWQ10 BGM9:BGM10 BQI9:BQI10 CAE9:CAE10 CKA9:CKA10 CTW9:CTW10 DDS9:DDS10 DNO9:DNO10 DXK9:DXK10 EHG9:EHG10 ERC9:ERC10 FAY9:FAY10 FKU9:FKU10 FUQ9:FUQ10 GEM9:GEM10 GOI9:GOI10 GYE9:GYE10 HIA9:HIA10 HRW9:HRW10 IBS9:IBS10 ILO9:ILO10 IVK9:IVK10 JFG9:JFG10 JPC9:JPC10 JYY9:JYY10 KIU9:KIU10 KSQ9:KSQ10 LCM9:LCM10 LMI9:LMI10 LWE9:LWE10 MGA9:MGA10 MPW9:MPW10 MZS9:MZS10 NJO9:NJO10 NTK9:NTK10 ODG9:ODG10 ONC9:ONC10 OWY9:OWY10 PGU9:PGU10 PQQ9:PQQ10 QAM9:QAM10 QKI9:QKI10 QUE9:QUE10 REA9:REA10 RNW9:RNW10 RXS9:RXS10 SHO9:SHO10 SRK9:SRK10 TBG9:TBG10 TLC9:TLC10 TUY9:TUY10 UEU9:UEU10 UOQ9:UOQ10 UYM9:UYM10 VII9:VII10 VSE9:VSE10 WCA9:WCA10 WLW9:WLW10 WVS9:WVS10 K65547:K65548 JG65547:JG65548 TC65547:TC65548 ACY65547:ACY65548 AMU65547:AMU65548 AWQ65547:AWQ65548 BGM65547:BGM65548 BQI65547:BQI65548 CAE65547:CAE65548 CKA65547:CKA65548 CTW65547:CTW65548 DDS65547:DDS65548 DNO65547:DNO65548 DXK65547:DXK65548 EHG65547:EHG65548 ERC65547:ERC65548 FAY65547:FAY65548 FKU65547:FKU65548 FUQ65547:FUQ65548 GEM65547:GEM65548 GOI65547:GOI65548 GYE65547:GYE65548 HIA65547:HIA65548 HRW65547:HRW65548 IBS65547:IBS65548 ILO65547:ILO65548 IVK65547:IVK65548 JFG65547:JFG65548 JPC65547:JPC65548 JYY65547:JYY65548 KIU65547:KIU65548 KSQ65547:KSQ65548 LCM65547:LCM65548 LMI65547:LMI65548 LWE65547:LWE65548 MGA65547:MGA65548 MPW65547:MPW65548 MZS65547:MZS65548 NJO65547:NJO65548 NTK65547:NTK65548 ODG65547:ODG65548 ONC65547:ONC65548 OWY65547:OWY65548 PGU65547:PGU65548 PQQ65547:PQQ65548 QAM65547:QAM65548 QKI65547:QKI65548 QUE65547:QUE65548 REA65547:REA65548 RNW65547:RNW65548 RXS65547:RXS65548 SHO65547:SHO65548 SRK65547:SRK65548 TBG65547:TBG65548 TLC65547:TLC65548 TUY65547:TUY65548 UEU65547:UEU65548 UOQ65547:UOQ65548 UYM65547:UYM65548 VII65547:VII65548 VSE65547:VSE65548 WCA65547:WCA65548 WLW65547:WLW65548 WVS65547:WVS65548 K131083:K131084 JG131083:JG131084 TC131083:TC131084 ACY131083:ACY131084 AMU131083:AMU131084 AWQ131083:AWQ131084 BGM131083:BGM131084 BQI131083:BQI131084 CAE131083:CAE131084 CKA131083:CKA131084 CTW131083:CTW131084 DDS131083:DDS131084 DNO131083:DNO131084 DXK131083:DXK131084 EHG131083:EHG131084 ERC131083:ERC131084 FAY131083:FAY131084 FKU131083:FKU131084 FUQ131083:FUQ131084 GEM131083:GEM131084 GOI131083:GOI131084 GYE131083:GYE131084 HIA131083:HIA131084 HRW131083:HRW131084 IBS131083:IBS131084 ILO131083:ILO131084 IVK131083:IVK131084 JFG131083:JFG131084 JPC131083:JPC131084 JYY131083:JYY131084 KIU131083:KIU131084 KSQ131083:KSQ131084 LCM131083:LCM131084 LMI131083:LMI131084 LWE131083:LWE131084 MGA131083:MGA131084 MPW131083:MPW131084 MZS131083:MZS131084 NJO131083:NJO131084 NTK131083:NTK131084 ODG131083:ODG131084 ONC131083:ONC131084 OWY131083:OWY131084 PGU131083:PGU131084 PQQ131083:PQQ131084 QAM131083:QAM131084 QKI131083:QKI131084 QUE131083:QUE131084 REA131083:REA131084 RNW131083:RNW131084 RXS131083:RXS131084 SHO131083:SHO131084 SRK131083:SRK131084 TBG131083:TBG131084 TLC131083:TLC131084 TUY131083:TUY131084 UEU131083:UEU131084 UOQ131083:UOQ131084 UYM131083:UYM131084 VII131083:VII131084 VSE131083:VSE131084 WCA131083:WCA131084 WLW131083:WLW131084 WVS131083:WVS131084 K196619:K196620 JG196619:JG196620 TC196619:TC196620 ACY196619:ACY196620 AMU196619:AMU196620 AWQ196619:AWQ196620 BGM196619:BGM196620 BQI196619:BQI196620 CAE196619:CAE196620 CKA196619:CKA196620 CTW196619:CTW196620 DDS196619:DDS196620 DNO196619:DNO196620 DXK196619:DXK196620 EHG196619:EHG196620 ERC196619:ERC196620 FAY196619:FAY196620 FKU196619:FKU196620 FUQ196619:FUQ196620 GEM196619:GEM196620 GOI196619:GOI196620 GYE196619:GYE196620 HIA196619:HIA196620 HRW196619:HRW196620 IBS196619:IBS196620 ILO196619:ILO196620 IVK196619:IVK196620 JFG196619:JFG196620 JPC196619:JPC196620 JYY196619:JYY196620 KIU196619:KIU196620 KSQ196619:KSQ196620 LCM196619:LCM196620 LMI196619:LMI196620 LWE196619:LWE196620 MGA196619:MGA196620 MPW196619:MPW196620 MZS196619:MZS196620 NJO196619:NJO196620 NTK196619:NTK196620 ODG196619:ODG196620 ONC196619:ONC196620 OWY196619:OWY196620 PGU196619:PGU196620 PQQ196619:PQQ196620 QAM196619:QAM196620 QKI196619:QKI196620 QUE196619:QUE196620 REA196619:REA196620 RNW196619:RNW196620 RXS196619:RXS196620 SHO196619:SHO196620 SRK196619:SRK196620 TBG196619:TBG196620 TLC196619:TLC196620 TUY196619:TUY196620 UEU196619:UEU196620 UOQ196619:UOQ196620 UYM196619:UYM196620 VII196619:VII196620 VSE196619:VSE196620 WCA196619:WCA196620 WLW196619:WLW196620 WVS196619:WVS196620 K262155:K262156 JG262155:JG262156 TC262155:TC262156 ACY262155:ACY262156 AMU262155:AMU262156 AWQ262155:AWQ262156 BGM262155:BGM262156 BQI262155:BQI262156 CAE262155:CAE262156 CKA262155:CKA262156 CTW262155:CTW262156 DDS262155:DDS262156 DNO262155:DNO262156 DXK262155:DXK262156 EHG262155:EHG262156 ERC262155:ERC262156 FAY262155:FAY262156 FKU262155:FKU262156 FUQ262155:FUQ262156 GEM262155:GEM262156 GOI262155:GOI262156 GYE262155:GYE262156 HIA262155:HIA262156 HRW262155:HRW262156 IBS262155:IBS262156 ILO262155:ILO262156 IVK262155:IVK262156 JFG262155:JFG262156 JPC262155:JPC262156 JYY262155:JYY262156 KIU262155:KIU262156 KSQ262155:KSQ262156 LCM262155:LCM262156 LMI262155:LMI262156 LWE262155:LWE262156 MGA262155:MGA262156 MPW262155:MPW262156 MZS262155:MZS262156 NJO262155:NJO262156 NTK262155:NTK262156 ODG262155:ODG262156 ONC262155:ONC262156 OWY262155:OWY262156 PGU262155:PGU262156 PQQ262155:PQQ262156 QAM262155:QAM262156 QKI262155:QKI262156 QUE262155:QUE262156 REA262155:REA262156 RNW262155:RNW262156 RXS262155:RXS262156 SHO262155:SHO262156 SRK262155:SRK262156 TBG262155:TBG262156 TLC262155:TLC262156 TUY262155:TUY262156 UEU262155:UEU262156 UOQ262155:UOQ262156 UYM262155:UYM262156 VII262155:VII262156 VSE262155:VSE262156 WCA262155:WCA262156 WLW262155:WLW262156 WVS262155:WVS262156 K327691:K327692 JG327691:JG327692 TC327691:TC327692 ACY327691:ACY327692 AMU327691:AMU327692 AWQ327691:AWQ327692 BGM327691:BGM327692 BQI327691:BQI327692 CAE327691:CAE327692 CKA327691:CKA327692 CTW327691:CTW327692 DDS327691:DDS327692 DNO327691:DNO327692 DXK327691:DXK327692 EHG327691:EHG327692 ERC327691:ERC327692 FAY327691:FAY327692 FKU327691:FKU327692 FUQ327691:FUQ327692 GEM327691:GEM327692 GOI327691:GOI327692 GYE327691:GYE327692 HIA327691:HIA327692 HRW327691:HRW327692 IBS327691:IBS327692 ILO327691:ILO327692 IVK327691:IVK327692 JFG327691:JFG327692 JPC327691:JPC327692 JYY327691:JYY327692 KIU327691:KIU327692 KSQ327691:KSQ327692 LCM327691:LCM327692 LMI327691:LMI327692 LWE327691:LWE327692 MGA327691:MGA327692 MPW327691:MPW327692 MZS327691:MZS327692 NJO327691:NJO327692 NTK327691:NTK327692 ODG327691:ODG327692 ONC327691:ONC327692 OWY327691:OWY327692 PGU327691:PGU327692 PQQ327691:PQQ327692 QAM327691:QAM327692 QKI327691:QKI327692 QUE327691:QUE327692 REA327691:REA327692 RNW327691:RNW327692 RXS327691:RXS327692 SHO327691:SHO327692 SRK327691:SRK327692 TBG327691:TBG327692 TLC327691:TLC327692 TUY327691:TUY327692 UEU327691:UEU327692 UOQ327691:UOQ327692 UYM327691:UYM327692 VII327691:VII327692 VSE327691:VSE327692 WCA327691:WCA327692 WLW327691:WLW327692 WVS327691:WVS327692 K393227:K393228 JG393227:JG393228 TC393227:TC393228 ACY393227:ACY393228 AMU393227:AMU393228 AWQ393227:AWQ393228 BGM393227:BGM393228 BQI393227:BQI393228 CAE393227:CAE393228 CKA393227:CKA393228 CTW393227:CTW393228 DDS393227:DDS393228 DNO393227:DNO393228 DXK393227:DXK393228 EHG393227:EHG393228 ERC393227:ERC393228 FAY393227:FAY393228 FKU393227:FKU393228 FUQ393227:FUQ393228 GEM393227:GEM393228 GOI393227:GOI393228 GYE393227:GYE393228 HIA393227:HIA393228 HRW393227:HRW393228 IBS393227:IBS393228 ILO393227:ILO393228 IVK393227:IVK393228 JFG393227:JFG393228 JPC393227:JPC393228 JYY393227:JYY393228 KIU393227:KIU393228 KSQ393227:KSQ393228 LCM393227:LCM393228 LMI393227:LMI393228 LWE393227:LWE393228 MGA393227:MGA393228 MPW393227:MPW393228 MZS393227:MZS393228 NJO393227:NJO393228 NTK393227:NTK393228 ODG393227:ODG393228 ONC393227:ONC393228 OWY393227:OWY393228 PGU393227:PGU393228 PQQ393227:PQQ393228 QAM393227:QAM393228 QKI393227:QKI393228 QUE393227:QUE393228 REA393227:REA393228 RNW393227:RNW393228 RXS393227:RXS393228 SHO393227:SHO393228 SRK393227:SRK393228 TBG393227:TBG393228 TLC393227:TLC393228 TUY393227:TUY393228 UEU393227:UEU393228 UOQ393227:UOQ393228 UYM393227:UYM393228 VII393227:VII393228 VSE393227:VSE393228 WCA393227:WCA393228 WLW393227:WLW393228 WVS393227:WVS393228 K458763:K458764 JG458763:JG458764 TC458763:TC458764 ACY458763:ACY458764 AMU458763:AMU458764 AWQ458763:AWQ458764 BGM458763:BGM458764 BQI458763:BQI458764 CAE458763:CAE458764 CKA458763:CKA458764 CTW458763:CTW458764 DDS458763:DDS458764 DNO458763:DNO458764 DXK458763:DXK458764 EHG458763:EHG458764 ERC458763:ERC458764 FAY458763:FAY458764 FKU458763:FKU458764 FUQ458763:FUQ458764 GEM458763:GEM458764 GOI458763:GOI458764 GYE458763:GYE458764 HIA458763:HIA458764 HRW458763:HRW458764 IBS458763:IBS458764 ILO458763:ILO458764 IVK458763:IVK458764 JFG458763:JFG458764 JPC458763:JPC458764 JYY458763:JYY458764 KIU458763:KIU458764 KSQ458763:KSQ458764 LCM458763:LCM458764 LMI458763:LMI458764 LWE458763:LWE458764 MGA458763:MGA458764 MPW458763:MPW458764 MZS458763:MZS458764 NJO458763:NJO458764 NTK458763:NTK458764 ODG458763:ODG458764 ONC458763:ONC458764 OWY458763:OWY458764 PGU458763:PGU458764 PQQ458763:PQQ458764 QAM458763:QAM458764 QKI458763:QKI458764 QUE458763:QUE458764 REA458763:REA458764 RNW458763:RNW458764 RXS458763:RXS458764 SHO458763:SHO458764 SRK458763:SRK458764 TBG458763:TBG458764 TLC458763:TLC458764 TUY458763:TUY458764 UEU458763:UEU458764 UOQ458763:UOQ458764 UYM458763:UYM458764 VII458763:VII458764 VSE458763:VSE458764 WCA458763:WCA458764 WLW458763:WLW458764 WVS458763:WVS458764 K524299:K524300 JG524299:JG524300 TC524299:TC524300 ACY524299:ACY524300 AMU524299:AMU524300 AWQ524299:AWQ524300 BGM524299:BGM524300 BQI524299:BQI524300 CAE524299:CAE524300 CKA524299:CKA524300 CTW524299:CTW524300 DDS524299:DDS524300 DNO524299:DNO524300 DXK524299:DXK524300 EHG524299:EHG524300 ERC524299:ERC524300 FAY524299:FAY524300 FKU524299:FKU524300 FUQ524299:FUQ524300 GEM524299:GEM524300 GOI524299:GOI524300 GYE524299:GYE524300 HIA524299:HIA524300 HRW524299:HRW524300 IBS524299:IBS524300 ILO524299:ILO524300 IVK524299:IVK524300 JFG524299:JFG524300 JPC524299:JPC524300 JYY524299:JYY524300 KIU524299:KIU524300 KSQ524299:KSQ524300 LCM524299:LCM524300 LMI524299:LMI524300 LWE524299:LWE524300 MGA524299:MGA524300 MPW524299:MPW524300 MZS524299:MZS524300 NJO524299:NJO524300 NTK524299:NTK524300 ODG524299:ODG524300 ONC524299:ONC524300 OWY524299:OWY524300 PGU524299:PGU524300 PQQ524299:PQQ524300 QAM524299:QAM524300 QKI524299:QKI524300 QUE524299:QUE524300 REA524299:REA524300 RNW524299:RNW524300 RXS524299:RXS524300 SHO524299:SHO524300 SRK524299:SRK524300 TBG524299:TBG524300 TLC524299:TLC524300 TUY524299:TUY524300 UEU524299:UEU524300 UOQ524299:UOQ524300 UYM524299:UYM524300 VII524299:VII524300 VSE524299:VSE524300 WCA524299:WCA524300 WLW524299:WLW524300 WVS524299:WVS524300 K589835:K589836 JG589835:JG589836 TC589835:TC589836 ACY589835:ACY589836 AMU589835:AMU589836 AWQ589835:AWQ589836 BGM589835:BGM589836 BQI589835:BQI589836 CAE589835:CAE589836 CKA589835:CKA589836 CTW589835:CTW589836 DDS589835:DDS589836 DNO589835:DNO589836 DXK589835:DXK589836 EHG589835:EHG589836 ERC589835:ERC589836 FAY589835:FAY589836 FKU589835:FKU589836 FUQ589835:FUQ589836 GEM589835:GEM589836 GOI589835:GOI589836 GYE589835:GYE589836 HIA589835:HIA589836 HRW589835:HRW589836 IBS589835:IBS589836 ILO589835:ILO589836 IVK589835:IVK589836 JFG589835:JFG589836 JPC589835:JPC589836 JYY589835:JYY589836 KIU589835:KIU589836 KSQ589835:KSQ589836 LCM589835:LCM589836 LMI589835:LMI589836 LWE589835:LWE589836 MGA589835:MGA589836 MPW589835:MPW589836 MZS589835:MZS589836 NJO589835:NJO589836 NTK589835:NTK589836 ODG589835:ODG589836 ONC589835:ONC589836 OWY589835:OWY589836 PGU589835:PGU589836 PQQ589835:PQQ589836 QAM589835:QAM589836 QKI589835:QKI589836 QUE589835:QUE589836 REA589835:REA589836 RNW589835:RNW589836 RXS589835:RXS589836 SHO589835:SHO589836 SRK589835:SRK589836 TBG589835:TBG589836 TLC589835:TLC589836 TUY589835:TUY589836 UEU589835:UEU589836 UOQ589835:UOQ589836 UYM589835:UYM589836 VII589835:VII589836 VSE589835:VSE589836 WCA589835:WCA589836 WLW589835:WLW589836 WVS589835:WVS589836 K655371:K655372 JG655371:JG655372 TC655371:TC655372 ACY655371:ACY655372 AMU655371:AMU655372 AWQ655371:AWQ655372 BGM655371:BGM655372 BQI655371:BQI655372 CAE655371:CAE655372 CKA655371:CKA655372 CTW655371:CTW655372 DDS655371:DDS655372 DNO655371:DNO655372 DXK655371:DXK655372 EHG655371:EHG655372 ERC655371:ERC655372 FAY655371:FAY655372 FKU655371:FKU655372 FUQ655371:FUQ655372 GEM655371:GEM655372 GOI655371:GOI655372 GYE655371:GYE655372 HIA655371:HIA655372 HRW655371:HRW655372 IBS655371:IBS655372 ILO655371:ILO655372 IVK655371:IVK655372 JFG655371:JFG655372 JPC655371:JPC655372 JYY655371:JYY655372 KIU655371:KIU655372 KSQ655371:KSQ655372 LCM655371:LCM655372 LMI655371:LMI655372 LWE655371:LWE655372 MGA655371:MGA655372 MPW655371:MPW655372 MZS655371:MZS655372 NJO655371:NJO655372 NTK655371:NTK655372 ODG655371:ODG655372 ONC655371:ONC655372 OWY655371:OWY655372 PGU655371:PGU655372 PQQ655371:PQQ655372 QAM655371:QAM655372 QKI655371:QKI655372 QUE655371:QUE655372 REA655371:REA655372 RNW655371:RNW655372 RXS655371:RXS655372 SHO655371:SHO655372 SRK655371:SRK655372 TBG655371:TBG655372 TLC655371:TLC655372 TUY655371:TUY655372 UEU655371:UEU655372 UOQ655371:UOQ655372 UYM655371:UYM655372 VII655371:VII655372 VSE655371:VSE655372 WCA655371:WCA655372 WLW655371:WLW655372 WVS655371:WVS655372 K720907:K720908 JG720907:JG720908 TC720907:TC720908 ACY720907:ACY720908 AMU720907:AMU720908 AWQ720907:AWQ720908 BGM720907:BGM720908 BQI720907:BQI720908 CAE720907:CAE720908 CKA720907:CKA720908 CTW720907:CTW720908 DDS720907:DDS720908 DNO720907:DNO720908 DXK720907:DXK720908 EHG720907:EHG720908 ERC720907:ERC720908 FAY720907:FAY720908 FKU720907:FKU720908 FUQ720907:FUQ720908 GEM720907:GEM720908 GOI720907:GOI720908 GYE720907:GYE720908 HIA720907:HIA720908 HRW720907:HRW720908 IBS720907:IBS720908 ILO720907:ILO720908 IVK720907:IVK720908 JFG720907:JFG720908 JPC720907:JPC720908 JYY720907:JYY720908 KIU720907:KIU720908 KSQ720907:KSQ720908 LCM720907:LCM720908 LMI720907:LMI720908 LWE720907:LWE720908 MGA720907:MGA720908 MPW720907:MPW720908 MZS720907:MZS720908 NJO720907:NJO720908 NTK720907:NTK720908 ODG720907:ODG720908 ONC720907:ONC720908 OWY720907:OWY720908 PGU720907:PGU720908 PQQ720907:PQQ720908 QAM720907:QAM720908 QKI720907:QKI720908 QUE720907:QUE720908 REA720907:REA720908 RNW720907:RNW720908 RXS720907:RXS720908 SHO720907:SHO720908 SRK720907:SRK720908 TBG720907:TBG720908 TLC720907:TLC720908 TUY720907:TUY720908 UEU720907:UEU720908 UOQ720907:UOQ720908 UYM720907:UYM720908 VII720907:VII720908 VSE720907:VSE720908 WCA720907:WCA720908 WLW720907:WLW720908 WVS720907:WVS720908 K786443:K786444 JG786443:JG786444 TC786443:TC786444 ACY786443:ACY786444 AMU786443:AMU786444 AWQ786443:AWQ786444 BGM786443:BGM786444 BQI786443:BQI786444 CAE786443:CAE786444 CKA786443:CKA786444 CTW786443:CTW786444 DDS786443:DDS786444 DNO786443:DNO786444 DXK786443:DXK786444 EHG786443:EHG786444 ERC786443:ERC786444 FAY786443:FAY786444 FKU786443:FKU786444 FUQ786443:FUQ786444 GEM786443:GEM786444 GOI786443:GOI786444 GYE786443:GYE786444 HIA786443:HIA786444 HRW786443:HRW786444 IBS786443:IBS786444 ILO786443:ILO786444 IVK786443:IVK786444 JFG786443:JFG786444 JPC786443:JPC786444 JYY786443:JYY786444 KIU786443:KIU786444 KSQ786443:KSQ786444 LCM786443:LCM786444 LMI786443:LMI786444 LWE786443:LWE786444 MGA786443:MGA786444 MPW786443:MPW786444 MZS786443:MZS786444 NJO786443:NJO786444 NTK786443:NTK786444 ODG786443:ODG786444 ONC786443:ONC786444 OWY786443:OWY786444 PGU786443:PGU786444 PQQ786443:PQQ786444 QAM786443:QAM786444 QKI786443:QKI786444 QUE786443:QUE786444 REA786443:REA786444 RNW786443:RNW786444 RXS786443:RXS786444 SHO786443:SHO786444 SRK786443:SRK786444 TBG786443:TBG786444 TLC786443:TLC786444 TUY786443:TUY786444 UEU786443:UEU786444 UOQ786443:UOQ786444 UYM786443:UYM786444 VII786443:VII786444 VSE786443:VSE786444 WCA786443:WCA786444 WLW786443:WLW786444 WVS786443:WVS786444 K851979:K851980 JG851979:JG851980 TC851979:TC851980 ACY851979:ACY851980 AMU851979:AMU851980 AWQ851979:AWQ851980 BGM851979:BGM851980 BQI851979:BQI851980 CAE851979:CAE851980 CKA851979:CKA851980 CTW851979:CTW851980 DDS851979:DDS851980 DNO851979:DNO851980 DXK851979:DXK851980 EHG851979:EHG851980 ERC851979:ERC851980 FAY851979:FAY851980 FKU851979:FKU851980 FUQ851979:FUQ851980 GEM851979:GEM851980 GOI851979:GOI851980 GYE851979:GYE851980 HIA851979:HIA851980 HRW851979:HRW851980 IBS851979:IBS851980 ILO851979:ILO851980 IVK851979:IVK851980 JFG851979:JFG851980 JPC851979:JPC851980 JYY851979:JYY851980 KIU851979:KIU851980 KSQ851979:KSQ851980 LCM851979:LCM851980 LMI851979:LMI851980 LWE851979:LWE851980 MGA851979:MGA851980 MPW851979:MPW851980 MZS851979:MZS851980 NJO851979:NJO851980 NTK851979:NTK851980 ODG851979:ODG851980 ONC851979:ONC851980 OWY851979:OWY851980 PGU851979:PGU851980 PQQ851979:PQQ851980 QAM851979:QAM851980 QKI851979:QKI851980 QUE851979:QUE851980 REA851979:REA851980 RNW851979:RNW851980 RXS851979:RXS851980 SHO851979:SHO851980 SRK851979:SRK851980 TBG851979:TBG851980 TLC851979:TLC851980 TUY851979:TUY851980 UEU851979:UEU851980 UOQ851979:UOQ851980 UYM851979:UYM851980 VII851979:VII851980 VSE851979:VSE851980 WCA851979:WCA851980 WLW851979:WLW851980 WVS851979:WVS851980 K917515:K917516 JG917515:JG917516 TC917515:TC917516 ACY917515:ACY917516 AMU917515:AMU917516 AWQ917515:AWQ917516 BGM917515:BGM917516 BQI917515:BQI917516 CAE917515:CAE917516 CKA917515:CKA917516 CTW917515:CTW917516 DDS917515:DDS917516 DNO917515:DNO917516 DXK917515:DXK917516 EHG917515:EHG917516 ERC917515:ERC917516 FAY917515:FAY917516 FKU917515:FKU917516 FUQ917515:FUQ917516 GEM917515:GEM917516 GOI917515:GOI917516 GYE917515:GYE917516 HIA917515:HIA917516 HRW917515:HRW917516 IBS917515:IBS917516 ILO917515:ILO917516 IVK917515:IVK917516 JFG917515:JFG917516 JPC917515:JPC917516 JYY917515:JYY917516 KIU917515:KIU917516 KSQ917515:KSQ917516 LCM917515:LCM917516 LMI917515:LMI917516 LWE917515:LWE917516 MGA917515:MGA917516 MPW917515:MPW917516 MZS917515:MZS917516 NJO917515:NJO917516 NTK917515:NTK917516 ODG917515:ODG917516 ONC917515:ONC917516 OWY917515:OWY917516 PGU917515:PGU917516 PQQ917515:PQQ917516 QAM917515:QAM917516 QKI917515:QKI917516 QUE917515:QUE917516 REA917515:REA917516 RNW917515:RNW917516 RXS917515:RXS917516 SHO917515:SHO917516 SRK917515:SRK917516 TBG917515:TBG917516 TLC917515:TLC917516 TUY917515:TUY917516 UEU917515:UEU917516 UOQ917515:UOQ917516 UYM917515:UYM917516 VII917515:VII917516 VSE917515:VSE917516 WCA917515:WCA917516 WLW917515:WLW917516 WVS917515:WVS917516 K983051:K983052 JG983051:JG983052 TC983051:TC983052 ACY983051:ACY983052 AMU983051:AMU983052 AWQ983051:AWQ983052 BGM983051:BGM983052 BQI983051:BQI983052 CAE983051:CAE983052 CKA983051:CKA983052 CTW983051:CTW983052 DDS983051:DDS983052 DNO983051:DNO983052 DXK983051:DXK983052 EHG983051:EHG983052 ERC983051:ERC983052 FAY983051:FAY983052 FKU983051:FKU983052 FUQ983051:FUQ983052 GEM983051:GEM983052 GOI983051:GOI983052 GYE983051:GYE983052 HIA983051:HIA983052 HRW983051:HRW983052 IBS983051:IBS983052 ILO983051:ILO983052 IVK983051:IVK983052 JFG983051:JFG983052 JPC983051:JPC983052 JYY983051:JYY983052 KIU983051:KIU983052 KSQ983051:KSQ983052 LCM983051:LCM983052 LMI983051:LMI983052 LWE983051:LWE983052 MGA983051:MGA983052 MPW983051:MPW983052 MZS983051:MZS983052 NJO983051:NJO983052 NTK983051:NTK983052 ODG983051:ODG983052 ONC983051:ONC983052 OWY983051:OWY983052 PGU983051:PGU983052 PQQ983051:PQQ983052 QAM983051:QAM983052 QKI983051:QKI983052 QUE983051:QUE983052 REA983051:REA983052 RNW983051:RNW983052 RXS983051:RXS983052 SHO983051:SHO983052 SRK983051:SRK983052 TBG983051:TBG983052 TLC983051:TLC983052 TUY983051:TUY983052 UEU983051:UEU983052 UOQ983051:UOQ983052 UYM983051:UYM983052 VII983051:VII983052 VSE983051:VSE983052 WCA983051:WCA983052 WLW983051:WLW983052" xr:uid="{00000000-0002-0000-0200-000002000000}">
      <formula1>$Q$8:$Q$12</formula1>
    </dataValidation>
  </dataValidations>
  <printOptions horizontalCentered="1"/>
  <pageMargins left="0.39370078740157483" right="0.39370078740157483" top="0.59055118110236227" bottom="0.39370078740157483" header="0.31496062992125984" footer="0.51181102362204722"/>
  <pageSetup paperSize="9" scale="62"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3000000}">
          <x14:formula1>
            <xm:f>"1,2,3,4,5,対象外"</xm:f>
          </x14:formula1>
          <xm:sqref>WVV983111:WVV983113 JD30:JD34 SZ30:SZ34 ACV30:ACV34 AMR30:AMR34 AWN30:AWN34 BGJ30:BGJ34 BQF30:BQF34 CAB30:CAB34 CJX30:CJX34 CTT30:CTT34 DDP30:DDP34 DNL30:DNL34 DXH30:DXH34 EHD30:EHD34 EQZ30:EQZ34 FAV30:FAV34 FKR30:FKR34 FUN30:FUN34 GEJ30:GEJ34 GOF30:GOF34 GYB30:GYB34 HHX30:HHX34 HRT30:HRT34 IBP30:IBP34 ILL30:ILL34 IVH30:IVH34 JFD30:JFD34 JOZ30:JOZ34 JYV30:JYV34 KIR30:KIR34 KSN30:KSN34 LCJ30:LCJ34 LMF30:LMF34 LWB30:LWB34 MFX30:MFX34 MPT30:MPT34 MZP30:MZP34 NJL30:NJL34 NTH30:NTH34 ODD30:ODD34 OMZ30:OMZ34 OWV30:OWV34 PGR30:PGR34 PQN30:PQN34 QAJ30:QAJ34 QKF30:QKF34 QUB30:QUB34 RDX30:RDX34 RNT30:RNT34 RXP30:RXP34 SHL30:SHL34 SRH30:SRH34 TBD30:TBD34 TKZ30:TKZ34 TUV30:TUV34 UER30:UER34 UON30:UON34 UYJ30:UYJ34 VIF30:VIF34 VSB30:VSB34 WBX30:WBX34 WLT30:WLT34 WVP30:WVP34 H65568:H65572 JD65568:JD65572 SZ65568:SZ65572 ACV65568:ACV65572 AMR65568:AMR65572 AWN65568:AWN65572 BGJ65568:BGJ65572 BQF65568:BQF65572 CAB65568:CAB65572 CJX65568:CJX65572 CTT65568:CTT65572 DDP65568:DDP65572 DNL65568:DNL65572 DXH65568:DXH65572 EHD65568:EHD65572 EQZ65568:EQZ65572 FAV65568:FAV65572 FKR65568:FKR65572 FUN65568:FUN65572 GEJ65568:GEJ65572 GOF65568:GOF65572 GYB65568:GYB65572 HHX65568:HHX65572 HRT65568:HRT65572 IBP65568:IBP65572 ILL65568:ILL65572 IVH65568:IVH65572 JFD65568:JFD65572 JOZ65568:JOZ65572 JYV65568:JYV65572 KIR65568:KIR65572 KSN65568:KSN65572 LCJ65568:LCJ65572 LMF65568:LMF65572 LWB65568:LWB65572 MFX65568:MFX65572 MPT65568:MPT65572 MZP65568:MZP65572 NJL65568:NJL65572 NTH65568:NTH65572 ODD65568:ODD65572 OMZ65568:OMZ65572 OWV65568:OWV65572 PGR65568:PGR65572 PQN65568:PQN65572 QAJ65568:QAJ65572 QKF65568:QKF65572 QUB65568:QUB65572 RDX65568:RDX65572 RNT65568:RNT65572 RXP65568:RXP65572 SHL65568:SHL65572 SRH65568:SRH65572 TBD65568:TBD65572 TKZ65568:TKZ65572 TUV65568:TUV65572 UER65568:UER65572 UON65568:UON65572 UYJ65568:UYJ65572 VIF65568:VIF65572 VSB65568:VSB65572 WBX65568:WBX65572 WLT65568:WLT65572 WVP65568:WVP65572 H131104:H131108 JD131104:JD131108 SZ131104:SZ131108 ACV131104:ACV131108 AMR131104:AMR131108 AWN131104:AWN131108 BGJ131104:BGJ131108 BQF131104:BQF131108 CAB131104:CAB131108 CJX131104:CJX131108 CTT131104:CTT131108 DDP131104:DDP131108 DNL131104:DNL131108 DXH131104:DXH131108 EHD131104:EHD131108 EQZ131104:EQZ131108 FAV131104:FAV131108 FKR131104:FKR131108 FUN131104:FUN131108 GEJ131104:GEJ131108 GOF131104:GOF131108 GYB131104:GYB131108 HHX131104:HHX131108 HRT131104:HRT131108 IBP131104:IBP131108 ILL131104:ILL131108 IVH131104:IVH131108 JFD131104:JFD131108 JOZ131104:JOZ131108 JYV131104:JYV131108 KIR131104:KIR131108 KSN131104:KSN131108 LCJ131104:LCJ131108 LMF131104:LMF131108 LWB131104:LWB131108 MFX131104:MFX131108 MPT131104:MPT131108 MZP131104:MZP131108 NJL131104:NJL131108 NTH131104:NTH131108 ODD131104:ODD131108 OMZ131104:OMZ131108 OWV131104:OWV131108 PGR131104:PGR131108 PQN131104:PQN131108 QAJ131104:QAJ131108 QKF131104:QKF131108 QUB131104:QUB131108 RDX131104:RDX131108 RNT131104:RNT131108 RXP131104:RXP131108 SHL131104:SHL131108 SRH131104:SRH131108 TBD131104:TBD131108 TKZ131104:TKZ131108 TUV131104:TUV131108 UER131104:UER131108 UON131104:UON131108 UYJ131104:UYJ131108 VIF131104:VIF131108 VSB131104:VSB131108 WBX131104:WBX131108 WLT131104:WLT131108 WVP131104:WVP131108 H196640:H196644 JD196640:JD196644 SZ196640:SZ196644 ACV196640:ACV196644 AMR196640:AMR196644 AWN196640:AWN196644 BGJ196640:BGJ196644 BQF196640:BQF196644 CAB196640:CAB196644 CJX196640:CJX196644 CTT196640:CTT196644 DDP196640:DDP196644 DNL196640:DNL196644 DXH196640:DXH196644 EHD196640:EHD196644 EQZ196640:EQZ196644 FAV196640:FAV196644 FKR196640:FKR196644 FUN196640:FUN196644 GEJ196640:GEJ196644 GOF196640:GOF196644 GYB196640:GYB196644 HHX196640:HHX196644 HRT196640:HRT196644 IBP196640:IBP196644 ILL196640:ILL196644 IVH196640:IVH196644 JFD196640:JFD196644 JOZ196640:JOZ196644 JYV196640:JYV196644 KIR196640:KIR196644 KSN196640:KSN196644 LCJ196640:LCJ196644 LMF196640:LMF196644 LWB196640:LWB196644 MFX196640:MFX196644 MPT196640:MPT196644 MZP196640:MZP196644 NJL196640:NJL196644 NTH196640:NTH196644 ODD196640:ODD196644 OMZ196640:OMZ196644 OWV196640:OWV196644 PGR196640:PGR196644 PQN196640:PQN196644 QAJ196640:QAJ196644 QKF196640:QKF196644 QUB196640:QUB196644 RDX196640:RDX196644 RNT196640:RNT196644 RXP196640:RXP196644 SHL196640:SHL196644 SRH196640:SRH196644 TBD196640:TBD196644 TKZ196640:TKZ196644 TUV196640:TUV196644 UER196640:UER196644 UON196640:UON196644 UYJ196640:UYJ196644 VIF196640:VIF196644 VSB196640:VSB196644 WBX196640:WBX196644 WLT196640:WLT196644 WVP196640:WVP196644 H262176:H262180 JD262176:JD262180 SZ262176:SZ262180 ACV262176:ACV262180 AMR262176:AMR262180 AWN262176:AWN262180 BGJ262176:BGJ262180 BQF262176:BQF262180 CAB262176:CAB262180 CJX262176:CJX262180 CTT262176:CTT262180 DDP262176:DDP262180 DNL262176:DNL262180 DXH262176:DXH262180 EHD262176:EHD262180 EQZ262176:EQZ262180 FAV262176:FAV262180 FKR262176:FKR262180 FUN262176:FUN262180 GEJ262176:GEJ262180 GOF262176:GOF262180 GYB262176:GYB262180 HHX262176:HHX262180 HRT262176:HRT262180 IBP262176:IBP262180 ILL262176:ILL262180 IVH262176:IVH262180 JFD262176:JFD262180 JOZ262176:JOZ262180 JYV262176:JYV262180 KIR262176:KIR262180 KSN262176:KSN262180 LCJ262176:LCJ262180 LMF262176:LMF262180 LWB262176:LWB262180 MFX262176:MFX262180 MPT262176:MPT262180 MZP262176:MZP262180 NJL262176:NJL262180 NTH262176:NTH262180 ODD262176:ODD262180 OMZ262176:OMZ262180 OWV262176:OWV262180 PGR262176:PGR262180 PQN262176:PQN262180 QAJ262176:QAJ262180 QKF262176:QKF262180 QUB262176:QUB262180 RDX262176:RDX262180 RNT262176:RNT262180 RXP262176:RXP262180 SHL262176:SHL262180 SRH262176:SRH262180 TBD262176:TBD262180 TKZ262176:TKZ262180 TUV262176:TUV262180 UER262176:UER262180 UON262176:UON262180 UYJ262176:UYJ262180 VIF262176:VIF262180 VSB262176:VSB262180 WBX262176:WBX262180 WLT262176:WLT262180 WVP262176:WVP262180 H327712:H327716 JD327712:JD327716 SZ327712:SZ327716 ACV327712:ACV327716 AMR327712:AMR327716 AWN327712:AWN327716 BGJ327712:BGJ327716 BQF327712:BQF327716 CAB327712:CAB327716 CJX327712:CJX327716 CTT327712:CTT327716 DDP327712:DDP327716 DNL327712:DNL327716 DXH327712:DXH327716 EHD327712:EHD327716 EQZ327712:EQZ327716 FAV327712:FAV327716 FKR327712:FKR327716 FUN327712:FUN327716 GEJ327712:GEJ327716 GOF327712:GOF327716 GYB327712:GYB327716 HHX327712:HHX327716 HRT327712:HRT327716 IBP327712:IBP327716 ILL327712:ILL327716 IVH327712:IVH327716 JFD327712:JFD327716 JOZ327712:JOZ327716 JYV327712:JYV327716 KIR327712:KIR327716 KSN327712:KSN327716 LCJ327712:LCJ327716 LMF327712:LMF327716 LWB327712:LWB327716 MFX327712:MFX327716 MPT327712:MPT327716 MZP327712:MZP327716 NJL327712:NJL327716 NTH327712:NTH327716 ODD327712:ODD327716 OMZ327712:OMZ327716 OWV327712:OWV327716 PGR327712:PGR327716 PQN327712:PQN327716 QAJ327712:QAJ327716 QKF327712:QKF327716 QUB327712:QUB327716 RDX327712:RDX327716 RNT327712:RNT327716 RXP327712:RXP327716 SHL327712:SHL327716 SRH327712:SRH327716 TBD327712:TBD327716 TKZ327712:TKZ327716 TUV327712:TUV327716 UER327712:UER327716 UON327712:UON327716 UYJ327712:UYJ327716 VIF327712:VIF327716 VSB327712:VSB327716 WBX327712:WBX327716 WLT327712:WLT327716 WVP327712:WVP327716 H393248:H393252 JD393248:JD393252 SZ393248:SZ393252 ACV393248:ACV393252 AMR393248:AMR393252 AWN393248:AWN393252 BGJ393248:BGJ393252 BQF393248:BQF393252 CAB393248:CAB393252 CJX393248:CJX393252 CTT393248:CTT393252 DDP393248:DDP393252 DNL393248:DNL393252 DXH393248:DXH393252 EHD393248:EHD393252 EQZ393248:EQZ393252 FAV393248:FAV393252 FKR393248:FKR393252 FUN393248:FUN393252 GEJ393248:GEJ393252 GOF393248:GOF393252 GYB393248:GYB393252 HHX393248:HHX393252 HRT393248:HRT393252 IBP393248:IBP393252 ILL393248:ILL393252 IVH393248:IVH393252 JFD393248:JFD393252 JOZ393248:JOZ393252 JYV393248:JYV393252 KIR393248:KIR393252 KSN393248:KSN393252 LCJ393248:LCJ393252 LMF393248:LMF393252 LWB393248:LWB393252 MFX393248:MFX393252 MPT393248:MPT393252 MZP393248:MZP393252 NJL393248:NJL393252 NTH393248:NTH393252 ODD393248:ODD393252 OMZ393248:OMZ393252 OWV393248:OWV393252 PGR393248:PGR393252 PQN393248:PQN393252 QAJ393248:QAJ393252 QKF393248:QKF393252 QUB393248:QUB393252 RDX393248:RDX393252 RNT393248:RNT393252 RXP393248:RXP393252 SHL393248:SHL393252 SRH393248:SRH393252 TBD393248:TBD393252 TKZ393248:TKZ393252 TUV393248:TUV393252 UER393248:UER393252 UON393248:UON393252 UYJ393248:UYJ393252 VIF393248:VIF393252 VSB393248:VSB393252 WBX393248:WBX393252 WLT393248:WLT393252 WVP393248:WVP393252 H458784:H458788 JD458784:JD458788 SZ458784:SZ458788 ACV458784:ACV458788 AMR458784:AMR458788 AWN458784:AWN458788 BGJ458784:BGJ458788 BQF458784:BQF458788 CAB458784:CAB458788 CJX458784:CJX458788 CTT458784:CTT458788 DDP458784:DDP458788 DNL458784:DNL458788 DXH458784:DXH458788 EHD458784:EHD458788 EQZ458784:EQZ458788 FAV458784:FAV458788 FKR458784:FKR458788 FUN458784:FUN458788 GEJ458784:GEJ458788 GOF458784:GOF458788 GYB458784:GYB458788 HHX458784:HHX458788 HRT458784:HRT458788 IBP458784:IBP458788 ILL458784:ILL458788 IVH458784:IVH458788 JFD458784:JFD458788 JOZ458784:JOZ458788 JYV458784:JYV458788 KIR458784:KIR458788 KSN458784:KSN458788 LCJ458784:LCJ458788 LMF458784:LMF458788 LWB458784:LWB458788 MFX458784:MFX458788 MPT458784:MPT458788 MZP458784:MZP458788 NJL458784:NJL458788 NTH458784:NTH458788 ODD458784:ODD458788 OMZ458784:OMZ458788 OWV458784:OWV458788 PGR458784:PGR458788 PQN458784:PQN458788 QAJ458784:QAJ458788 QKF458784:QKF458788 QUB458784:QUB458788 RDX458784:RDX458788 RNT458784:RNT458788 RXP458784:RXP458788 SHL458784:SHL458788 SRH458784:SRH458788 TBD458784:TBD458788 TKZ458784:TKZ458788 TUV458784:TUV458788 UER458784:UER458788 UON458784:UON458788 UYJ458784:UYJ458788 VIF458784:VIF458788 VSB458784:VSB458788 WBX458784:WBX458788 WLT458784:WLT458788 WVP458784:WVP458788 H524320:H524324 JD524320:JD524324 SZ524320:SZ524324 ACV524320:ACV524324 AMR524320:AMR524324 AWN524320:AWN524324 BGJ524320:BGJ524324 BQF524320:BQF524324 CAB524320:CAB524324 CJX524320:CJX524324 CTT524320:CTT524324 DDP524320:DDP524324 DNL524320:DNL524324 DXH524320:DXH524324 EHD524320:EHD524324 EQZ524320:EQZ524324 FAV524320:FAV524324 FKR524320:FKR524324 FUN524320:FUN524324 GEJ524320:GEJ524324 GOF524320:GOF524324 GYB524320:GYB524324 HHX524320:HHX524324 HRT524320:HRT524324 IBP524320:IBP524324 ILL524320:ILL524324 IVH524320:IVH524324 JFD524320:JFD524324 JOZ524320:JOZ524324 JYV524320:JYV524324 KIR524320:KIR524324 KSN524320:KSN524324 LCJ524320:LCJ524324 LMF524320:LMF524324 LWB524320:LWB524324 MFX524320:MFX524324 MPT524320:MPT524324 MZP524320:MZP524324 NJL524320:NJL524324 NTH524320:NTH524324 ODD524320:ODD524324 OMZ524320:OMZ524324 OWV524320:OWV524324 PGR524320:PGR524324 PQN524320:PQN524324 QAJ524320:QAJ524324 QKF524320:QKF524324 QUB524320:QUB524324 RDX524320:RDX524324 RNT524320:RNT524324 RXP524320:RXP524324 SHL524320:SHL524324 SRH524320:SRH524324 TBD524320:TBD524324 TKZ524320:TKZ524324 TUV524320:TUV524324 UER524320:UER524324 UON524320:UON524324 UYJ524320:UYJ524324 VIF524320:VIF524324 VSB524320:VSB524324 WBX524320:WBX524324 WLT524320:WLT524324 WVP524320:WVP524324 H589856:H589860 JD589856:JD589860 SZ589856:SZ589860 ACV589856:ACV589860 AMR589856:AMR589860 AWN589856:AWN589860 BGJ589856:BGJ589860 BQF589856:BQF589860 CAB589856:CAB589860 CJX589856:CJX589860 CTT589856:CTT589860 DDP589856:DDP589860 DNL589856:DNL589860 DXH589856:DXH589860 EHD589856:EHD589860 EQZ589856:EQZ589860 FAV589856:FAV589860 FKR589856:FKR589860 FUN589856:FUN589860 GEJ589856:GEJ589860 GOF589856:GOF589860 GYB589856:GYB589860 HHX589856:HHX589860 HRT589856:HRT589860 IBP589856:IBP589860 ILL589856:ILL589860 IVH589856:IVH589860 JFD589856:JFD589860 JOZ589856:JOZ589860 JYV589856:JYV589860 KIR589856:KIR589860 KSN589856:KSN589860 LCJ589856:LCJ589860 LMF589856:LMF589860 LWB589856:LWB589860 MFX589856:MFX589860 MPT589856:MPT589860 MZP589856:MZP589860 NJL589856:NJL589860 NTH589856:NTH589860 ODD589856:ODD589860 OMZ589856:OMZ589860 OWV589856:OWV589860 PGR589856:PGR589860 PQN589856:PQN589860 QAJ589856:QAJ589860 QKF589856:QKF589860 QUB589856:QUB589860 RDX589856:RDX589860 RNT589856:RNT589860 RXP589856:RXP589860 SHL589856:SHL589860 SRH589856:SRH589860 TBD589856:TBD589860 TKZ589856:TKZ589860 TUV589856:TUV589860 UER589856:UER589860 UON589856:UON589860 UYJ589856:UYJ589860 VIF589856:VIF589860 VSB589856:VSB589860 WBX589856:WBX589860 WLT589856:WLT589860 WVP589856:WVP589860 H655392:H655396 JD655392:JD655396 SZ655392:SZ655396 ACV655392:ACV655396 AMR655392:AMR655396 AWN655392:AWN655396 BGJ655392:BGJ655396 BQF655392:BQF655396 CAB655392:CAB655396 CJX655392:CJX655396 CTT655392:CTT655396 DDP655392:DDP655396 DNL655392:DNL655396 DXH655392:DXH655396 EHD655392:EHD655396 EQZ655392:EQZ655396 FAV655392:FAV655396 FKR655392:FKR655396 FUN655392:FUN655396 GEJ655392:GEJ655396 GOF655392:GOF655396 GYB655392:GYB655396 HHX655392:HHX655396 HRT655392:HRT655396 IBP655392:IBP655396 ILL655392:ILL655396 IVH655392:IVH655396 JFD655392:JFD655396 JOZ655392:JOZ655396 JYV655392:JYV655396 KIR655392:KIR655396 KSN655392:KSN655396 LCJ655392:LCJ655396 LMF655392:LMF655396 LWB655392:LWB655396 MFX655392:MFX655396 MPT655392:MPT655396 MZP655392:MZP655396 NJL655392:NJL655396 NTH655392:NTH655396 ODD655392:ODD655396 OMZ655392:OMZ655396 OWV655392:OWV655396 PGR655392:PGR655396 PQN655392:PQN655396 QAJ655392:QAJ655396 QKF655392:QKF655396 QUB655392:QUB655396 RDX655392:RDX655396 RNT655392:RNT655396 RXP655392:RXP655396 SHL655392:SHL655396 SRH655392:SRH655396 TBD655392:TBD655396 TKZ655392:TKZ655396 TUV655392:TUV655396 UER655392:UER655396 UON655392:UON655396 UYJ655392:UYJ655396 VIF655392:VIF655396 VSB655392:VSB655396 WBX655392:WBX655396 WLT655392:WLT655396 WVP655392:WVP655396 H720928:H720932 JD720928:JD720932 SZ720928:SZ720932 ACV720928:ACV720932 AMR720928:AMR720932 AWN720928:AWN720932 BGJ720928:BGJ720932 BQF720928:BQF720932 CAB720928:CAB720932 CJX720928:CJX720932 CTT720928:CTT720932 DDP720928:DDP720932 DNL720928:DNL720932 DXH720928:DXH720932 EHD720928:EHD720932 EQZ720928:EQZ720932 FAV720928:FAV720932 FKR720928:FKR720932 FUN720928:FUN720932 GEJ720928:GEJ720932 GOF720928:GOF720932 GYB720928:GYB720932 HHX720928:HHX720932 HRT720928:HRT720932 IBP720928:IBP720932 ILL720928:ILL720932 IVH720928:IVH720932 JFD720928:JFD720932 JOZ720928:JOZ720932 JYV720928:JYV720932 KIR720928:KIR720932 KSN720928:KSN720932 LCJ720928:LCJ720932 LMF720928:LMF720932 LWB720928:LWB720932 MFX720928:MFX720932 MPT720928:MPT720932 MZP720928:MZP720932 NJL720928:NJL720932 NTH720928:NTH720932 ODD720928:ODD720932 OMZ720928:OMZ720932 OWV720928:OWV720932 PGR720928:PGR720932 PQN720928:PQN720932 QAJ720928:QAJ720932 QKF720928:QKF720932 QUB720928:QUB720932 RDX720928:RDX720932 RNT720928:RNT720932 RXP720928:RXP720932 SHL720928:SHL720932 SRH720928:SRH720932 TBD720928:TBD720932 TKZ720928:TKZ720932 TUV720928:TUV720932 UER720928:UER720932 UON720928:UON720932 UYJ720928:UYJ720932 VIF720928:VIF720932 VSB720928:VSB720932 WBX720928:WBX720932 WLT720928:WLT720932 WVP720928:WVP720932 H786464:H786468 JD786464:JD786468 SZ786464:SZ786468 ACV786464:ACV786468 AMR786464:AMR786468 AWN786464:AWN786468 BGJ786464:BGJ786468 BQF786464:BQF786468 CAB786464:CAB786468 CJX786464:CJX786468 CTT786464:CTT786468 DDP786464:DDP786468 DNL786464:DNL786468 DXH786464:DXH786468 EHD786464:EHD786468 EQZ786464:EQZ786468 FAV786464:FAV786468 FKR786464:FKR786468 FUN786464:FUN786468 GEJ786464:GEJ786468 GOF786464:GOF786468 GYB786464:GYB786468 HHX786464:HHX786468 HRT786464:HRT786468 IBP786464:IBP786468 ILL786464:ILL786468 IVH786464:IVH786468 JFD786464:JFD786468 JOZ786464:JOZ786468 JYV786464:JYV786468 KIR786464:KIR786468 KSN786464:KSN786468 LCJ786464:LCJ786468 LMF786464:LMF786468 LWB786464:LWB786468 MFX786464:MFX786468 MPT786464:MPT786468 MZP786464:MZP786468 NJL786464:NJL786468 NTH786464:NTH786468 ODD786464:ODD786468 OMZ786464:OMZ786468 OWV786464:OWV786468 PGR786464:PGR786468 PQN786464:PQN786468 QAJ786464:QAJ786468 QKF786464:QKF786468 QUB786464:QUB786468 RDX786464:RDX786468 RNT786464:RNT786468 RXP786464:RXP786468 SHL786464:SHL786468 SRH786464:SRH786468 TBD786464:TBD786468 TKZ786464:TKZ786468 TUV786464:TUV786468 UER786464:UER786468 UON786464:UON786468 UYJ786464:UYJ786468 VIF786464:VIF786468 VSB786464:VSB786468 WBX786464:WBX786468 WLT786464:WLT786468 WVP786464:WVP786468 H852000:H852004 JD852000:JD852004 SZ852000:SZ852004 ACV852000:ACV852004 AMR852000:AMR852004 AWN852000:AWN852004 BGJ852000:BGJ852004 BQF852000:BQF852004 CAB852000:CAB852004 CJX852000:CJX852004 CTT852000:CTT852004 DDP852000:DDP852004 DNL852000:DNL852004 DXH852000:DXH852004 EHD852000:EHD852004 EQZ852000:EQZ852004 FAV852000:FAV852004 FKR852000:FKR852004 FUN852000:FUN852004 GEJ852000:GEJ852004 GOF852000:GOF852004 GYB852000:GYB852004 HHX852000:HHX852004 HRT852000:HRT852004 IBP852000:IBP852004 ILL852000:ILL852004 IVH852000:IVH852004 JFD852000:JFD852004 JOZ852000:JOZ852004 JYV852000:JYV852004 KIR852000:KIR852004 KSN852000:KSN852004 LCJ852000:LCJ852004 LMF852000:LMF852004 LWB852000:LWB852004 MFX852000:MFX852004 MPT852000:MPT852004 MZP852000:MZP852004 NJL852000:NJL852004 NTH852000:NTH852004 ODD852000:ODD852004 OMZ852000:OMZ852004 OWV852000:OWV852004 PGR852000:PGR852004 PQN852000:PQN852004 QAJ852000:QAJ852004 QKF852000:QKF852004 QUB852000:QUB852004 RDX852000:RDX852004 RNT852000:RNT852004 RXP852000:RXP852004 SHL852000:SHL852004 SRH852000:SRH852004 TBD852000:TBD852004 TKZ852000:TKZ852004 TUV852000:TUV852004 UER852000:UER852004 UON852000:UON852004 UYJ852000:UYJ852004 VIF852000:VIF852004 VSB852000:VSB852004 WBX852000:WBX852004 WLT852000:WLT852004 WVP852000:WVP852004 H917536:H917540 JD917536:JD917540 SZ917536:SZ917540 ACV917536:ACV917540 AMR917536:AMR917540 AWN917536:AWN917540 BGJ917536:BGJ917540 BQF917536:BQF917540 CAB917536:CAB917540 CJX917536:CJX917540 CTT917536:CTT917540 DDP917536:DDP917540 DNL917536:DNL917540 DXH917536:DXH917540 EHD917536:EHD917540 EQZ917536:EQZ917540 FAV917536:FAV917540 FKR917536:FKR917540 FUN917536:FUN917540 GEJ917536:GEJ917540 GOF917536:GOF917540 GYB917536:GYB917540 HHX917536:HHX917540 HRT917536:HRT917540 IBP917536:IBP917540 ILL917536:ILL917540 IVH917536:IVH917540 JFD917536:JFD917540 JOZ917536:JOZ917540 JYV917536:JYV917540 KIR917536:KIR917540 KSN917536:KSN917540 LCJ917536:LCJ917540 LMF917536:LMF917540 LWB917536:LWB917540 MFX917536:MFX917540 MPT917536:MPT917540 MZP917536:MZP917540 NJL917536:NJL917540 NTH917536:NTH917540 ODD917536:ODD917540 OMZ917536:OMZ917540 OWV917536:OWV917540 PGR917536:PGR917540 PQN917536:PQN917540 QAJ917536:QAJ917540 QKF917536:QKF917540 QUB917536:QUB917540 RDX917536:RDX917540 RNT917536:RNT917540 RXP917536:RXP917540 SHL917536:SHL917540 SRH917536:SRH917540 TBD917536:TBD917540 TKZ917536:TKZ917540 TUV917536:TUV917540 UER917536:UER917540 UON917536:UON917540 UYJ917536:UYJ917540 VIF917536:VIF917540 VSB917536:VSB917540 WBX917536:WBX917540 WLT917536:WLT917540 WVP917536:WVP917540 H983072:H983076 JD983072:JD983076 SZ983072:SZ983076 ACV983072:ACV983076 AMR983072:AMR983076 AWN983072:AWN983076 BGJ983072:BGJ983076 BQF983072:BQF983076 CAB983072:CAB983076 CJX983072:CJX983076 CTT983072:CTT983076 DDP983072:DDP983076 DNL983072:DNL983076 DXH983072:DXH983076 EHD983072:EHD983076 EQZ983072:EQZ983076 FAV983072:FAV983076 FKR983072:FKR983076 FUN983072:FUN983076 GEJ983072:GEJ983076 GOF983072:GOF983076 GYB983072:GYB983076 HHX983072:HHX983076 HRT983072:HRT983076 IBP983072:IBP983076 ILL983072:ILL983076 IVH983072:IVH983076 JFD983072:JFD983076 JOZ983072:JOZ983076 JYV983072:JYV983076 KIR983072:KIR983076 KSN983072:KSN983076 LCJ983072:LCJ983076 LMF983072:LMF983076 LWB983072:LWB983076 MFX983072:MFX983076 MPT983072:MPT983076 MZP983072:MZP983076 NJL983072:NJL983076 NTH983072:NTH983076 ODD983072:ODD983076 OMZ983072:OMZ983076 OWV983072:OWV983076 PGR983072:PGR983076 PQN983072:PQN983076 QAJ983072:QAJ983076 QKF983072:QKF983076 QUB983072:QUB983076 RDX983072:RDX983076 RNT983072:RNT983076 RXP983072:RXP983076 SHL983072:SHL983076 SRH983072:SRH983076 TBD983072:TBD983076 TKZ983072:TKZ983076 TUV983072:TUV983076 UER983072:UER983076 UON983072:UON983076 UYJ983072:UYJ983076 VIF983072:VIF983076 VSB983072:VSB983076 WBX983072:WBX983076 WLT983072:WLT983076 WVP983072:WVP983076 VSH983111:VSH983113 JJ39:JJ42 TF39:TF42 ADB39:ADB42 AMX39:AMX42 AWT39:AWT42 BGP39:BGP42 BQL39:BQL42 CAH39:CAH42 CKD39:CKD42 CTZ39:CTZ42 DDV39:DDV42 DNR39:DNR42 DXN39:DXN42 EHJ39:EHJ42 ERF39:ERF42 FBB39:FBB42 FKX39:FKX42 FUT39:FUT42 GEP39:GEP42 GOL39:GOL42 GYH39:GYH42 HID39:HID42 HRZ39:HRZ42 IBV39:IBV42 ILR39:ILR42 IVN39:IVN42 JFJ39:JFJ42 JPF39:JPF42 JZB39:JZB42 KIX39:KIX42 KST39:KST42 LCP39:LCP42 LML39:LML42 LWH39:LWH42 MGD39:MGD42 MPZ39:MPZ42 MZV39:MZV42 NJR39:NJR42 NTN39:NTN42 ODJ39:ODJ42 ONF39:ONF42 OXB39:OXB42 PGX39:PGX42 PQT39:PQT42 QAP39:QAP42 QKL39:QKL42 QUH39:QUH42 RED39:RED42 RNZ39:RNZ42 RXV39:RXV42 SHR39:SHR42 SRN39:SRN42 TBJ39:TBJ42 TLF39:TLF42 TVB39:TVB42 UEX39:UEX42 UOT39:UOT42 UYP39:UYP42 VIL39:VIL42 VSH39:VSH42 WCD39:WCD42 WLZ39:WLZ42 WVV39:WVV42 N65577:N65580 JJ65577:JJ65580 TF65577:TF65580 ADB65577:ADB65580 AMX65577:AMX65580 AWT65577:AWT65580 BGP65577:BGP65580 BQL65577:BQL65580 CAH65577:CAH65580 CKD65577:CKD65580 CTZ65577:CTZ65580 DDV65577:DDV65580 DNR65577:DNR65580 DXN65577:DXN65580 EHJ65577:EHJ65580 ERF65577:ERF65580 FBB65577:FBB65580 FKX65577:FKX65580 FUT65577:FUT65580 GEP65577:GEP65580 GOL65577:GOL65580 GYH65577:GYH65580 HID65577:HID65580 HRZ65577:HRZ65580 IBV65577:IBV65580 ILR65577:ILR65580 IVN65577:IVN65580 JFJ65577:JFJ65580 JPF65577:JPF65580 JZB65577:JZB65580 KIX65577:KIX65580 KST65577:KST65580 LCP65577:LCP65580 LML65577:LML65580 LWH65577:LWH65580 MGD65577:MGD65580 MPZ65577:MPZ65580 MZV65577:MZV65580 NJR65577:NJR65580 NTN65577:NTN65580 ODJ65577:ODJ65580 ONF65577:ONF65580 OXB65577:OXB65580 PGX65577:PGX65580 PQT65577:PQT65580 QAP65577:QAP65580 QKL65577:QKL65580 QUH65577:QUH65580 RED65577:RED65580 RNZ65577:RNZ65580 RXV65577:RXV65580 SHR65577:SHR65580 SRN65577:SRN65580 TBJ65577:TBJ65580 TLF65577:TLF65580 TVB65577:TVB65580 UEX65577:UEX65580 UOT65577:UOT65580 UYP65577:UYP65580 VIL65577:VIL65580 VSH65577:VSH65580 WCD65577:WCD65580 WLZ65577:WLZ65580 WVV65577:WVV65580 N131113:N131116 JJ131113:JJ131116 TF131113:TF131116 ADB131113:ADB131116 AMX131113:AMX131116 AWT131113:AWT131116 BGP131113:BGP131116 BQL131113:BQL131116 CAH131113:CAH131116 CKD131113:CKD131116 CTZ131113:CTZ131116 DDV131113:DDV131116 DNR131113:DNR131116 DXN131113:DXN131116 EHJ131113:EHJ131116 ERF131113:ERF131116 FBB131113:FBB131116 FKX131113:FKX131116 FUT131113:FUT131116 GEP131113:GEP131116 GOL131113:GOL131116 GYH131113:GYH131116 HID131113:HID131116 HRZ131113:HRZ131116 IBV131113:IBV131116 ILR131113:ILR131116 IVN131113:IVN131116 JFJ131113:JFJ131116 JPF131113:JPF131116 JZB131113:JZB131116 KIX131113:KIX131116 KST131113:KST131116 LCP131113:LCP131116 LML131113:LML131116 LWH131113:LWH131116 MGD131113:MGD131116 MPZ131113:MPZ131116 MZV131113:MZV131116 NJR131113:NJR131116 NTN131113:NTN131116 ODJ131113:ODJ131116 ONF131113:ONF131116 OXB131113:OXB131116 PGX131113:PGX131116 PQT131113:PQT131116 QAP131113:QAP131116 QKL131113:QKL131116 QUH131113:QUH131116 RED131113:RED131116 RNZ131113:RNZ131116 RXV131113:RXV131116 SHR131113:SHR131116 SRN131113:SRN131116 TBJ131113:TBJ131116 TLF131113:TLF131116 TVB131113:TVB131116 UEX131113:UEX131116 UOT131113:UOT131116 UYP131113:UYP131116 VIL131113:VIL131116 VSH131113:VSH131116 WCD131113:WCD131116 WLZ131113:WLZ131116 WVV131113:WVV131116 N196649:N196652 JJ196649:JJ196652 TF196649:TF196652 ADB196649:ADB196652 AMX196649:AMX196652 AWT196649:AWT196652 BGP196649:BGP196652 BQL196649:BQL196652 CAH196649:CAH196652 CKD196649:CKD196652 CTZ196649:CTZ196652 DDV196649:DDV196652 DNR196649:DNR196652 DXN196649:DXN196652 EHJ196649:EHJ196652 ERF196649:ERF196652 FBB196649:FBB196652 FKX196649:FKX196652 FUT196649:FUT196652 GEP196649:GEP196652 GOL196649:GOL196652 GYH196649:GYH196652 HID196649:HID196652 HRZ196649:HRZ196652 IBV196649:IBV196652 ILR196649:ILR196652 IVN196649:IVN196652 JFJ196649:JFJ196652 JPF196649:JPF196652 JZB196649:JZB196652 KIX196649:KIX196652 KST196649:KST196652 LCP196649:LCP196652 LML196649:LML196652 LWH196649:LWH196652 MGD196649:MGD196652 MPZ196649:MPZ196652 MZV196649:MZV196652 NJR196649:NJR196652 NTN196649:NTN196652 ODJ196649:ODJ196652 ONF196649:ONF196652 OXB196649:OXB196652 PGX196649:PGX196652 PQT196649:PQT196652 QAP196649:QAP196652 QKL196649:QKL196652 QUH196649:QUH196652 RED196649:RED196652 RNZ196649:RNZ196652 RXV196649:RXV196652 SHR196649:SHR196652 SRN196649:SRN196652 TBJ196649:TBJ196652 TLF196649:TLF196652 TVB196649:TVB196652 UEX196649:UEX196652 UOT196649:UOT196652 UYP196649:UYP196652 VIL196649:VIL196652 VSH196649:VSH196652 WCD196649:WCD196652 WLZ196649:WLZ196652 WVV196649:WVV196652 N262185:N262188 JJ262185:JJ262188 TF262185:TF262188 ADB262185:ADB262188 AMX262185:AMX262188 AWT262185:AWT262188 BGP262185:BGP262188 BQL262185:BQL262188 CAH262185:CAH262188 CKD262185:CKD262188 CTZ262185:CTZ262188 DDV262185:DDV262188 DNR262185:DNR262188 DXN262185:DXN262188 EHJ262185:EHJ262188 ERF262185:ERF262188 FBB262185:FBB262188 FKX262185:FKX262188 FUT262185:FUT262188 GEP262185:GEP262188 GOL262185:GOL262188 GYH262185:GYH262188 HID262185:HID262188 HRZ262185:HRZ262188 IBV262185:IBV262188 ILR262185:ILR262188 IVN262185:IVN262188 JFJ262185:JFJ262188 JPF262185:JPF262188 JZB262185:JZB262188 KIX262185:KIX262188 KST262185:KST262188 LCP262185:LCP262188 LML262185:LML262188 LWH262185:LWH262188 MGD262185:MGD262188 MPZ262185:MPZ262188 MZV262185:MZV262188 NJR262185:NJR262188 NTN262185:NTN262188 ODJ262185:ODJ262188 ONF262185:ONF262188 OXB262185:OXB262188 PGX262185:PGX262188 PQT262185:PQT262188 QAP262185:QAP262188 QKL262185:QKL262188 QUH262185:QUH262188 RED262185:RED262188 RNZ262185:RNZ262188 RXV262185:RXV262188 SHR262185:SHR262188 SRN262185:SRN262188 TBJ262185:TBJ262188 TLF262185:TLF262188 TVB262185:TVB262188 UEX262185:UEX262188 UOT262185:UOT262188 UYP262185:UYP262188 VIL262185:VIL262188 VSH262185:VSH262188 WCD262185:WCD262188 WLZ262185:WLZ262188 WVV262185:WVV262188 N327721:N327724 JJ327721:JJ327724 TF327721:TF327724 ADB327721:ADB327724 AMX327721:AMX327724 AWT327721:AWT327724 BGP327721:BGP327724 BQL327721:BQL327724 CAH327721:CAH327724 CKD327721:CKD327724 CTZ327721:CTZ327724 DDV327721:DDV327724 DNR327721:DNR327724 DXN327721:DXN327724 EHJ327721:EHJ327724 ERF327721:ERF327724 FBB327721:FBB327724 FKX327721:FKX327724 FUT327721:FUT327724 GEP327721:GEP327724 GOL327721:GOL327724 GYH327721:GYH327724 HID327721:HID327724 HRZ327721:HRZ327724 IBV327721:IBV327724 ILR327721:ILR327724 IVN327721:IVN327724 JFJ327721:JFJ327724 JPF327721:JPF327724 JZB327721:JZB327724 KIX327721:KIX327724 KST327721:KST327724 LCP327721:LCP327724 LML327721:LML327724 LWH327721:LWH327724 MGD327721:MGD327724 MPZ327721:MPZ327724 MZV327721:MZV327724 NJR327721:NJR327724 NTN327721:NTN327724 ODJ327721:ODJ327724 ONF327721:ONF327724 OXB327721:OXB327724 PGX327721:PGX327724 PQT327721:PQT327724 QAP327721:QAP327724 QKL327721:QKL327724 QUH327721:QUH327724 RED327721:RED327724 RNZ327721:RNZ327724 RXV327721:RXV327724 SHR327721:SHR327724 SRN327721:SRN327724 TBJ327721:TBJ327724 TLF327721:TLF327724 TVB327721:TVB327724 UEX327721:UEX327724 UOT327721:UOT327724 UYP327721:UYP327724 VIL327721:VIL327724 VSH327721:VSH327724 WCD327721:WCD327724 WLZ327721:WLZ327724 WVV327721:WVV327724 N393257:N393260 JJ393257:JJ393260 TF393257:TF393260 ADB393257:ADB393260 AMX393257:AMX393260 AWT393257:AWT393260 BGP393257:BGP393260 BQL393257:BQL393260 CAH393257:CAH393260 CKD393257:CKD393260 CTZ393257:CTZ393260 DDV393257:DDV393260 DNR393257:DNR393260 DXN393257:DXN393260 EHJ393257:EHJ393260 ERF393257:ERF393260 FBB393257:FBB393260 FKX393257:FKX393260 FUT393257:FUT393260 GEP393257:GEP393260 GOL393257:GOL393260 GYH393257:GYH393260 HID393257:HID393260 HRZ393257:HRZ393260 IBV393257:IBV393260 ILR393257:ILR393260 IVN393257:IVN393260 JFJ393257:JFJ393260 JPF393257:JPF393260 JZB393257:JZB393260 KIX393257:KIX393260 KST393257:KST393260 LCP393257:LCP393260 LML393257:LML393260 LWH393257:LWH393260 MGD393257:MGD393260 MPZ393257:MPZ393260 MZV393257:MZV393260 NJR393257:NJR393260 NTN393257:NTN393260 ODJ393257:ODJ393260 ONF393257:ONF393260 OXB393257:OXB393260 PGX393257:PGX393260 PQT393257:PQT393260 QAP393257:QAP393260 QKL393257:QKL393260 QUH393257:QUH393260 RED393257:RED393260 RNZ393257:RNZ393260 RXV393257:RXV393260 SHR393257:SHR393260 SRN393257:SRN393260 TBJ393257:TBJ393260 TLF393257:TLF393260 TVB393257:TVB393260 UEX393257:UEX393260 UOT393257:UOT393260 UYP393257:UYP393260 VIL393257:VIL393260 VSH393257:VSH393260 WCD393257:WCD393260 WLZ393257:WLZ393260 WVV393257:WVV393260 N458793:N458796 JJ458793:JJ458796 TF458793:TF458796 ADB458793:ADB458796 AMX458793:AMX458796 AWT458793:AWT458796 BGP458793:BGP458796 BQL458793:BQL458796 CAH458793:CAH458796 CKD458793:CKD458796 CTZ458793:CTZ458796 DDV458793:DDV458796 DNR458793:DNR458796 DXN458793:DXN458796 EHJ458793:EHJ458796 ERF458793:ERF458796 FBB458793:FBB458796 FKX458793:FKX458796 FUT458793:FUT458796 GEP458793:GEP458796 GOL458793:GOL458796 GYH458793:GYH458796 HID458793:HID458796 HRZ458793:HRZ458796 IBV458793:IBV458796 ILR458793:ILR458796 IVN458793:IVN458796 JFJ458793:JFJ458796 JPF458793:JPF458796 JZB458793:JZB458796 KIX458793:KIX458796 KST458793:KST458796 LCP458793:LCP458796 LML458793:LML458796 LWH458793:LWH458796 MGD458793:MGD458796 MPZ458793:MPZ458796 MZV458793:MZV458796 NJR458793:NJR458796 NTN458793:NTN458796 ODJ458793:ODJ458796 ONF458793:ONF458796 OXB458793:OXB458796 PGX458793:PGX458796 PQT458793:PQT458796 QAP458793:QAP458796 QKL458793:QKL458796 QUH458793:QUH458796 RED458793:RED458796 RNZ458793:RNZ458796 RXV458793:RXV458796 SHR458793:SHR458796 SRN458793:SRN458796 TBJ458793:TBJ458796 TLF458793:TLF458796 TVB458793:TVB458796 UEX458793:UEX458796 UOT458793:UOT458796 UYP458793:UYP458796 VIL458793:VIL458796 VSH458793:VSH458796 WCD458793:WCD458796 WLZ458793:WLZ458796 WVV458793:WVV458796 N524329:N524332 JJ524329:JJ524332 TF524329:TF524332 ADB524329:ADB524332 AMX524329:AMX524332 AWT524329:AWT524332 BGP524329:BGP524332 BQL524329:BQL524332 CAH524329:CAH524332 CKD524329:CKD524332 CTZ524329:CTZ524332 DDV524329:DDV524332 DNR524329:DNR524332 DXN524329:DXN524332 EHJ524329:EHJ524332 ERF524329:ERF524332 FBB524329:FBB524332 FKX524329:FKX524332 FUT524329:FUT524332 GEP524329:GEP524332 GOL524329:GOL524332 GYH524329:GYH524332 HID524329:HID524332 HRZ524329:HRZ524332 IBV524329:IBV524332 ILR524329:ILR524332 IVN524329:IVN524332 JFJ524329:JFJ524332 JPF524329:JPF524332 JZB524329:JZB524332 KIX524329:KIX524332 KST524329:KST524332 LCP524329:LCP524332 LML524329:LML524332 LWH524329:LWH524332 MGD524329:MGD524332 MPZ524329:MPZ524332 MZV524329:MZV524332 NJR524329:NJR524332 NTN524329:NTN524332 ODJ524329:ODJ524332 ONF524329:ONF524332 OXB524329:OXB524332 PGX524329:PGX524332 PQT524329:PQT524332 QAP524329:QAP524332 QKL524329:QKL524332 QUH524329:QUH524332 RED524329:RED524332 RNZ524329:RNZ524332 RXV524329:RXV524332 SHR524329:SHR524332 SRN524329:SRN524332 TBJ524329:TBJ524332 TLF524329:TLF524332 TVB524329:TVB524332 UEX524329:UEX524332 UOT524329:UOT524332 UYP524329:UYP524332 VIL524329:VIL524332 VSH524329:VSH524332 WCD524329:WCD524332 WLZ524329:WLZ524332 WVV524329:WVV524332 N589865:N589868 JJ589865:JJ589868 TF589865:TF589868 ADB589865:ADB589868 AMX589865:AMX589868 AWT589865:AWT589868 BGP589865:BGP589868 BQL589865:BQL589868 CAH589865:CAH589868 CKD589865:CKD589868 CTZ589865:CTZ589868 DDV589865:DDV589868 DNR589865:DNR589868 DXN589865:DXN589868 EHJ589865:EHJ589868 ERF589865:ERF589868 FBB589865:FBB589868 FKX589865:FKX589868 FUT589865:FUT589868 GEP589865:GEP589868 GOL589865:GOL589868 GYH589865:GYH589868 HID589865:HID589868 HRZ589865:HRZ589868 IBV589865:IBV589868 ILR589865:ILR589868 IVN589865:IVN589868 JFJ589865:JFJ589868 JPF589865:JPF589868 JZB589865:JZB589868 KIX589865:KIX589868 KST589865:KST589868 LCP589865:LCP589868 LML589865:LML589868 LWH589865:LWH589868 MGD589865:MGD589868 MPZ589865:MPZ589868 MZV589865:MZV589868 NJR589865:NJR589868 NTN589865:NTN589868 ODJ589865:ODJ589868 ONF589865:ONF589868 OXB589865:OXB589868 PGX589865:PGX589868 PQT589865:PQT589868 QAP589865:QAP589868 QKL589865:QKL589868 QUH589865:QUH589868 RED589865:RED589868 RNZ589865:RNZ589868 RXV589865:RXV589868 SHR589865:SHR589868 SRN589865:SRN589868 TBJ589865:TBJ589868 TLF589865:TLF589868 TVB589865:TVB589868 UEX589865:UEX589868 UOT589865:UOT589868 UYP589865:UYP589868 VIL589865:VIL589868 VSH589865:VSH589868 WCD589865:WCD589868 WLZ589865:WLZ589868 WVV589865:WVV589868 N655401:N655404 JJ655401:JJ655404 TF655401:TF655404 ADB655401:ADB655404 AMX655401:AMX655404 AWT655401:AWT655404 BGP655401:BGP655404 BQL655401:BQL655404 CAH655401:CAH655404 CKD655401:CKD655404 CTZ655401:CTZ655404 DDV655401:DDV655404 DNR655401:DNR655404 DXN655401:DXN655404 EHJ655401:EHJ655404 ERF655401:ERF655404 FBB655401:FBB655404 FKX655401:FKX655404 FUT655401:FUT655404 GEP655401:GEP655404 GOL655401:GOL655404 GYH655401:GYH655404 HID655401:HID655404 HRZ655401:HRZ655404 IBV655401:IBV655404 ILR655401:ILR655404 IVN655401:IVN655404 JFJ655401:JFJ655404 JPF655401:JPF655404 JZB655401:JZB655404 KIX655401:KIX655404 KST655401:KST655404 LCP655401:LCP655404 LML655401:LML655404 LWH655401:LWH655404 MGD655401:MGD655404 MPZ655401:MPZ655404 MZV655401:MZV655404 NJR655401:NJR655404 NTN655401:NTN655404 ODJ655401:ODJ655404 ONF655401:ONF655404 OXB655401:OXB655404 PGX655401:PGX655404 PQT655401:PQT655404 QAP655401:QAP655404 QKL655401:QKL655404 QUH655401:QUH655404 RED655401:RED655404 RNZ655401:RNZ655404 RXV655401:RXV655404 SHR655401:SHR655404 SRN655401:SRN655404 TBJ655401:TBJ655404 TLF655401:TLF655404 TVB655401:TVB655404 UEX655401:UEX655404 UOT655401:UOT655404 UYP655401:UYP655404 VIL655401:VIL655404 VSH655401:VSH655404 WCD655401:WCD655404 WLZ655401:WLZ655404 WVV655401:WVV655404 N720937:N720940 JJ720937:JJ720940 TF720937:TF720940 ADB720937:ADB720940 AMX720937:AMX720940 AWT720937:AWT720940 BGP720937:BGP720940 BQL720937:BQL720940 CAH720937:CAH720940 CKD720937:CKD720940 CTZ720937:CTZ720940 DDV720937:DDV720940 DNR720937:DNR720940 DXN720937:DXN720940 EHJ720937:EHJ720940 ERF720937:ERF720940 FBB720937:FBB720940 FKX720937:FKX720940 FUT720937:FUT720940 GEP720937:GEP720940 GOL720937:GOL720940 GYH720937:GYH720940 HID720937:HID720940 HRZ720937:HRZ720940 IBV720937:IBV720940 ILR720937:ILR720940 IVN720937:IVN720940 JFJ720937:JFJ720940 JPF720937:JPF720940 JZB720937:JZB720940 KIX720937:KIX720940 KST720937:KST720940 LCP720937:LCP720940 LML720937:LML720940 LWH720937:LWH720940 MGD720937:MGD720940 MPZ720937:MPZ720940 MZV720937:MZV720940 NJR720937:NJR720940 NTN720937:NTN720940 ODJ720937:ODJ720940 ONF720937:ONF720940 OXB720937:OXB720940 PGX720937:PGX720940 PQT720937:PQT720940 QAP720937:QAP720940 QKL720937:QKL720940 QUH720937:QUH720940 RED720937:RED720940 RNZ720937:RNZ720940 RXV720937:RXV720940 SHR720937:SHR720940 SRN720937:SRN720940 TBJ720937:TBJ720940 TLF720937:TLF720940 TVB720937:TVB720940 UEX720937:UEX720940 UOT720937:UOT720940 UYP720937:UYP720940 VIL720937:VIL720940 VSH720937:VSH720940 WCD720937:WCD720940 WLZ720937:WLZ720940 WVV720937:WVV720940 N786473:N786476 JJ786473:JJ786476 TF786473:TF786476 ADB786473:ADB786476 AMX786473:AMX786476 AWT786473:AWT786476 BGP786473:BGP786476 BQL786473:BQL786476 CAH786473:CAH786476 CKD786473:CKD786476 CTZ786473:CTZ786476 DDV786473:DDV786476 DNR786473:DNR786476 DXN786473:DXN786476 EHJ786473:EHJ786476 ERF786473:ERF786476 FBB786473:FBB786476 FKX786473:FKX786476 FUT786473:FUT786476 GEP786473:GEP786476 GOL786473:GOL786476 GYH786473:GYH786476 HID786473:HID786476 HRZ786473:HRZ786476 IBV786473:IBV786476 ILR786473:ILR786476 IVN786473:IVN786476 JFJ786473:JFJ786476 JPF786473:JPF786476 JZB786473:JZB786476 KIX786473:KIX786476 KST786473:KST786476 LCP786473:LCP786476 LML786473:LML786476 LWH786473:LWH786476 MGD786473:MGD786476 MPZ786473:MPZ786476 MZV786473:MZV786476 NJR786473:NJR786476 NTN786473:NTN786476 ODJ786473:ODJ786476 ONF786473:ONF786476 OXB786473:OXB786476 PGX786473:PGX786476 PQT786473:PQT786476 QAP786473:QAP786476 QKL786473:QKL786476 QUH786473:QUH786476 RED786473:RED786476 RNZ786473:RNZ786476 RXV786473:RXV786476 SHR786473:SHR786476 SRN786473:SRN786476 TBJ786473:TBJ786476 TLF786473:TLF786476 TVB786473:TVB786476 UEX786473:UEX786476 UOT786473:UOT786476 UYP786473:UYP786476 VIL786473:VIL786476 VSH786473:VSH786476 WCD786473:WCD786476 WLZ786473:WLZ786476 WVV786473:WVV786476 N852009:N852012 JJ852009:JJ852012 TF852009:TF852012 ADB852009:ADB852012 AMX852009:AMX852012 AWT852009:AWT852012 BGP852009:BGP852012 BQL852009:BQL852012 CAH852009:CAH852012 CKD852009:CKD852012 CTZ852009:CTZ852012 DDV852009:DDV852012 DNR852009:DNR852012 DXN852009:DXN852012 EHJ852009:EHJ852012 ERF852009:ERF852012 FBB852009:FBB852012 FKX852009:FKX852012 FUT852009:FUT852012 GEP852009:GEP852012 GOL852009:GOL852012 GYH852009:GYH852012 HID852009:HID852012 HRZ852009:HRZ852012 IBV852009:IBV852012 ILR852009:ILR852012 IVN852009:IVN852012 JFJ852009:JFJ852012 JPF852009:JPF852012 JZB852009:JZB852012 KIX852009:KIX852012 KST852009:KST852012 LCP852009:LCP852012 LML852009:LML852012 LWH852009:LWH852012 MGD852009:MGD852012 MPZ852009:MPZ852012 MZV852009:MZV852012 NJR852009:NJR852012 NTN852009:NTN852012 ODJ852009:ODJ852012 ONF852009:ONF852012 OXB852009:OXB852012 PGX852009:PGX852012 PQT852009:PQT852012 QAP852009:QAP852012 QKL852009:QKL852012 QUH852009:QUH852012 RED852009:RED852012 RNZ852009:RNZ852012 RXV852009:RXV852012 SHR852009:SHR852012 SRN852009:SRN852012 TBJ852009:TBJ852012 TLF852009:TLF852012 TVB852009:TVB852012 UEX852009:UEX852012 UOT852009:UOT852012 UYP852009:UYP852012 VIL852009:VIL852012 VSH852009:VSH852012 WCD852009:WCD852012 WLZ852009:WLZ852012 WVV852009:WVV852012 N917545:N917548 JJ917545:JJ917548 TF917545:TF917548 ADB917545:ADB917548 AMX917545:AMX917548 AWT917545:AWT917548 BGP917545:BGP917548 BQL917545:BQL917548 CAH917545:CAH917548 CKD917545:CKD917548 CTZ917545:CTZ917548 DDV917545:DDV917548 DNR917545:DNR917548 DXN917545:DXN917548 EHJ917545:EHJ917548 ERF917545:ERF917548 FBB917545:FBB917548 FKX917545:FKX917548 FUT917545:FUT917548 GEP917545:GEP917548 GOL917545:GOL917548 GYH917545:GYH917548 HID917545:HID917548 HRZ917545:HRZ917548 IBV917545:IBV917548 ILR917545:ILR917548 IVN917545:IVN917548 JFJ917545:JFJ917548 JPF917545:JPF917548 JZB917545:JZB917548 KIX917545:KIX917548 KST917545:KST917548 LCP917545:LCP917548 LML917545:LML917548 LWH917545:LWH917548 MGD917545:MGD917548 MPZ917545:MPZ917548 MZV917545:MZV917548 NJR917545:NJR917548 NTN917545:NTN917548 ODJ917545:ODJ917548 ONF917545:ONF917548 OXB917545:OXB917548 PGX917545:PGX917548 PQT917545:PQT917548 QAP917545:QAP917548 QKL917545:QKL917548 QUH917545:QUH917548 RED917545:RED917548 RNZ917545:RNZ917548 RXV917545:RXV917548 SHR917545:SHR917548 SRN917545:SRN917548 TBJ917545:TBJ917548 TLF917545:TLF917548 TVB917545:TVB917548 UEX917545:UEX917548 UOT917545:UOT917548 UYP917545:UYP917548 VIL917545:VIL917548 VSH917545:VSH917548 WCD917545:WCD917548 WLZ917545:WLZ917548 WVV917545:WVV917548 N983081:N983084 JJ983081:JJ983084 TF983081:TF983084 ADB983081:ADB983084 AMX983081:AMX983084 AWT983081:AWT983084 BGP983081:BGP983084 BQL983081:BQL983084 CAH983081:CAH983084 CKD983081:CKD983084 CTZ983081:CTZ983084 DDV983081:DDV983084 DNR983081:DNR983084 DXN983081:DXN983084 EHJ983081:EHJ983084 ERF983081:ERF983084 FBB983081:FBB983084 FKX983081:FKX983084 FUT983081:FUT983084 GEP983081:GEP983084 GOL983081:GOL983084 GYH983081:GYH983084 HID983081:HID983084 HRZ983081:HRZ983084 IBV983081:IBV983084 ILR983081:ILR983084 IVN983081:IVN983084 JFJ983081:JFJ983084 JPF983081:JPF983084 JZB983081:JZB983084 KIX983081:KIX983084 KST983081:KST983084 LCP983081:LCP983084 LML983081:LML983084 LWH983081:LWH983084 MGD983081:MGD983084 MPZ983081:MPZ983084 MZV983081:MZV983084 NJR983081:NJR983084 NTN983081:NTN983084 ODJ983081:ODJ983084 ONF983081:ONF983084 OXB983081:OXB983084 PGX983081:PGX983084 PQT983081:PQT983084 QAP983081:QAP983084 QKL983081:QKL983084 QUH983081:QUH983084 RED983081:RED983084 RNZ983081:RNZ983084 RXV983081:RXV983084 SHR983081:SHR983084 SRN983081:SRN983084 TBJ983081:TBJ983084 TLF983081:TLF983084 TVB983081:TVB983084 UEX983081:UEX983084 UOT983081:UOT983084 UYP983081:UYP983084 VIL983081:VIL983084 VSH983081:VSH983084 WCD983081:WCD983084 WLZ983081:WLZ983084 WVV983081:WVV983084 WLZ983111:WLZ983113 JJ34:JJ35 TF34:TF35 ADB34:ADB35 AMX34:AMX35 AWT34:AWT35 BGP34:BGP35 BQL34:BQL35 CAH34:CAH35 CKD34:CKD35 CTZ34:CTZ35 DDV34:DDV35 DNR34:DNR35 DXN34:DXN35 EHJ34:EHJ35 ERF34:ERF35 FBB34:FBB35 FKX34:FKX35 FUT34:FUT35 GEP34:GEP35 GOL34:GOL35 GYH34:GYH35 HID34:HID35 HRZ34:HRZ35 IBV34:IBV35 ILR34:ILR35 IVN34:IVN35 JFJ34:JFJ35 JPF34:JPF35 JZB34:JZB35 KIX34:KIX35 KST34:KST35 LCP34:LCP35 LML34:LML35 LWH34:LWH35 MGD34:MGD35 MPZ34:MPZ35 MZV34:MZV35 NJR34:NJR35 NTN34:NTN35 ODJ34:ODJ35 ONF34:ONF35 OXB34:OXB35 PGX34:PGX35 PQT34:PQT35 QAP34:QAP35 QKL34:QKL35 QUH34:QUH35 RED34:RED35 RNZ34:RNZ35 RXV34:RXV35 SHR34:SHR35 SRN34:SRN35 TBJ34:TBJ35 TLF34:TLF35 TVB34:TVB35 UEX34:UEX35 UOT34:UOT35 UYP34:UYP35 VIL34:VIL35 VSH34:VSH35 WCD34:WCD35 WLZ34:WLZ35 WVV34:WVV35 N65572:N65573 JJ65572:JJ65573 TF65572:TF65573 ADB65572:ADB65573 AMX65572:AMX65573 AWT65572:AWT65573 BGP65572:BGP65573 BQL65572:BQL65573 CAH65572:CAH65573 CKD65572:CKD65573 CTZ65572:CTZ65573 DDV65572:DDV65573 DNR65572:DNR65573 DXN65572:DXN65573 EHJ65572:EHJ65573 ERF65572:ERF65573 FBB65572:FBB65573 FKX65572:FKX65573 FUT65572:FUT65573 GEP65572:GEP65573 GOL65572:GOL65573 GYH65572:GYH65573 HID65572:HID65573 HRZ65572:HRZ65573 IBV65572:IBV65573 ILR65572:ILR65573 IVN65572:IVN65573 JFJ65572:JFJ65573 JPF65572:JPF65573 JZB65572:JZB65573 KIX65572:KIX65573 KST65572:KST65573 LCP65572:LCP65573 LML65572:LML65573 LWH65572:LWH65573 MGD65572:MGD65573 MPZ65572:MPZ65573 MZV65572:MZV65573 NJR65572:NJR65573 NTN65572:NTN65573 ODJ65572:ODJ65573 ONF65572:ONF65573 OXB65572:OXB65573 PGX65572:PGX65573 PQT65572:PQT65573 QAP65572:QAP65573 QKL65572:QKL65573 QUH65572:QUH65573 RED65572:RED65573 RNZ65572:RNZ65573 RXV65572:RXV65573 SHR65572:SHR65573 SRN65572:SRN65573 TBJ65572:TBJ65573 TLF65572:TLF65573 TVB65572:TVB65573 UEX65572:UEX65573 UOT65572:UOT65573 UYP65572:UYP65573 VIL65572:VIL65573 VSH65572:VSH65573 WCD65572:WCD65573 WLZ65572:WLZ65573 WVV65572:WVV65573 N131108:N131109 JJ131108:JJ131109 TF131108:TF131109 ADB131108:ADB131109 AMX131108:AMX131109 AWT131108:AWT131109 BGP131108:BGP131109 BQL131108:BQL131109 CAH131108:CAH131109 CKD131108:CKD131109 CTZ131108:CTZ131109 DDV131108:DDV131109 DNR131108:DNR131109 DXN131108:DXN131109 EHJ131108:EHJ131109 ERF131108:ERF131109 FBB131108:FBB131109 FKX131108:FKX131109 FUT131108:FUT131109 GEP131108:GEP131109 GOL131108:GOL131109 GYH131108:GYH131109 HID131108:HID131109 HRZ131108:HRZ131109 IBV131108:IBV131109 ILR131108:ILR131109 IVN131108:IVN131109 JFJ131108:JFJ131109 JPF131108:JPF131109 JZB131108:JZB131109 KIX131108:KIX131109 KST131108:KST131109 LCP131108:LCP131109 LML131108:LML131109 LWH131108:LWH131109 MGD131108:MGD131109 MPZ131108:MPZ131109 MZV131108:MZV131109 NJR131108:NJR131109 NTN131108:NTN131109 ODJ131108:ODJ131109 ONF131108:ONF131109 OXB131108:OXB131109 PGX131108:PGX131109 PQT131108:PQT131109 QAP131108:QAP131109 QKL131108:QKL131109 QUH131108:QUH131109 RED131108:RED131109 RNZ131108:RNZ131109 RXV131108:RXV131109 SHR131108:SHR131109 SRN131108:SRN131109 TBJ131108:TBJ131109 TLF131108:TLF131109 TVB131108:TVB131109 UEX131108:UEX131109 UOT131108:UOT131109 UYP131108:UYP131109 VIL131108:VIL131109 VSH131108:VSH131109 WCD131108:WCD131109 WLZ131108:WLZ131109 WVV131108:WVV131109 N196644:N196645 JJ196644:JJ196645 TF196644:TF196645 ADB196644:ADB196645 AMX196644:AMX196645 AWT196644:AWT196645 BGP196644:BGP196645 BQL196644:BQL196645 CAH196644:CAH196645 CKD196644:CKD196645 CTZ196644:CTZ196645 DDV196644:DDV196645 DNR196644:DNR196645 DXN196644:DXN196645 EHJ196644:EHJ196645 ERF196644:ERF196645 FBB196644:FBB196645 FKX196644:FKX196645 FUT196644:FUT196645 GEP196644:GEP196645 GOL196644:GOL196645 GYH196644:GYH196645 HID196644:HID196645 HRZ196644:HRZ196645 IBV196644:IBV196645 ILR196644:ILR196645 IVN196644:IVN196645 JFJ196644:JFJ196645 JPF196644:JPF196645 JZB196644:JZB196645 KIX196644:KIX196645 KST196644:KST196645 LCP196644:LCP196645 LML196644:LML196645 LWH196644:LWH196645 MGD196644:MGD196645 MPZ196644:MPZ196645 MZV196644:MZV196645 NJR196644:NJR196645 NTN196644:NTN196645 ODJ196644:ODJ196645 ONF196644:ONF196645 OXB196644:OXB196645 PGX196644:PGX196645 PQT196644:PQT196645 QAP196644:QAP196645 QKL196644:QKL196645 QUH196644:QUH196645 RED196644:RED196645 RNZ196644:RNZ196645 RXV196644:RXV196645 SHR196644:SHR196645 SRN196644:SRN196645 TBJ196644:TBJ196645 TLF196644:TLF196645 TVB196644:TVB196645 UEX196644:UEX196645 UOT196644:UOT196645 UYP196644:UYP196645 VIL196644:VIL196645 VSH196644:VSH196645 WCD196644:WCD196645 WLZ196644:WLZ196645 WVV196644:WVV196645 N262180:N262181 JJ262180:JJ262181 TF262180:TF262181 ADB262180:ADB262181 AMX262180:AMX262181 AWT262180:AWT262181 BGP262180:BGP262181 BQL262180:BQL262181 CAH262180:CAH262181 CKD262180:CKD262181 CTZ262180:CTZ262181 DDV262180:DDV262181 DNR262180:DNR262181 DXN262180:DXN262181 EHJ262180:EHJ262181 ERF262180:ERF262181 FBB262180:FBB262181 FKX262180:FKX262181 FUT262180:FUT262181 GEP262180:GEP262181 GOL262180:GOL262181 GYH262180:GYH262181 HID262180:HID262181 HRZ262180:HRZ262181 IBV262180:IBV262181 ILR262180:ILR262181 IVN262180:IVN262181 JFJ262180:JFJ262181 JPF262180:JPF262181 JZB262180:JZB262181 KIX262180:KIX262181 KST262180:KST262181 LCP262180:LCP262181 LML262180:LML262181 LWH262180:LWH262181 MGD262180:MGD262181 MPZ262180:MPZ262181 MZV262180:MZV262181 NJR262180:NJR262181 NTN262180:NTN262181 ODJ262180:ODJ262181 ONF262180:ONF262181 OXB262180:OXB262181 PGX262180:PGX262181 PQT262180:PQT262181 QAP262180:QAP262181 QKL262180:QKL262181 QUH262180:QUH262181 RED262180:RED262181 RNZ262180:RNZ262181 RXV262180:RXV262181 SHR262180:SHR262181 SRN262180:SRN262181 TBJ262180:TBJ262181 TLF262180:TLF262181 TVB262180:TVB262181 UEX262180:UEX262181 UOT262180:UOT262181 UYP262180:UYP262181 VIL262180:VIL262181 VSH262180:VSH262181 WCD262180:WCD262181 WLZ262180:WLZ262181 WVV262180:WVV262181 N327716:N327717 JJ327716:JJ327717 TF327716:TF327717 ADB327716:ADB327717 AMX327716:AMX327717 AWT327716:AWT327717 BGP327716:BGP327717 BQL327716:BQL327717 CAH327716:CAH327717 CKD327716:CKD327717 CTZ327716:CTZ327717 DDV327716:DDV327717 DNR327716:DNR327717 DXN327716:DXN327717 EHJ327716:EHJ327717 ERF327716:ERF327717 FBB327716:FBB327717 FKX327716:FKX327717 FUT327716:FUT327717 GEP327716:GEP327717 GOL327716:GOL327717 GYH327716:GYH327717 HID327716:HID327717 HRZ327716:HRZ327717 IBV327716:IBV327717 ILR327716:ILR327717 IVN327716:IVN327717 JFJ327716:JFJ327717 JPF327716:JPF327717 JZB327716:JZB327717 KIX327716:KIX327717 KST327716:KST327717 LCP327716:LCP327717 LML327716:LML327717 LWH327716:LWH327717 MGD327716:MGD327717 MPZ327716:MPZ327717 MZV327716:MZV327717 NJR327716:NJR327717 NTN327716:NTN327717 ODJ327716:ODJ327717 ONF327716:ONF327717 OXB327716:OXB327717 PGX327716:PGX327717 PQT327716:PQT327717 QAP327716:QAP327717 QKL327716:QKL327717 QUH327716:QUH327717 RED327716:RED327717 RNZ327716:RNZ327717 RXV327716:RXV327717 SHR327716:SHR327717 SRN327716:SRN327717 TBJ327716:TBJ327717 TLF327716:TLF327717 TVB327716:TVB327717 UEX327716:UEX327717 UOT327716:UOT327717 UYP327716:UYP327717 VIL327716:VIL327717 VSH327716:VSH327717 WCD327716:WCD327717 WLZ327716:WLZ327717 WVV327716:WVV327717 N393252:N393253 JJ393252:JJ393253 TF393252:TF393253 ADB393252:ADB393253 AMX393252:AMX393253 AWT393252:AWT393253 BGP393252:BGP393253 BQL393252:BQL393253 CAH393252:CAH393253 CKD393252:CKD393253 CTZ393252:CTZ393253 DDV393252:DDV393253 DNR393252:DNR393253 DXN393252:DXN393253 EHJ393252:EHJ393253 ERF393252:ERF393253 FBB393252:FBB393253 FKX393252:FKX393253 FUT393252:FUT393253 GEP393252:GEP393253 GOL393252:GOL393253 GYH393252:GYH393253 HID393252:HID393253 HRZ393252:HRZ393253 IBV393252:IBV393253 ILR393252:ILR393253 IVN393252:IVN393253 JFJ393252:JFJ393253 JPF393252:JPF393253 JZB393252:JZB393253 KIX393252:KIX393253 KST393252:KST393253 LCP393252:LCP393253 LML393252:LML393253 LWH393252:LWH393253 MGD393252:MGD393253 MPZ393252:MPZ393253 MZV393252:MZV393253 NJR393252:NJR393253 NTN393252:NTN393253 ODJ393252:ODJ393253 ONF393252:ONF393253 OXB393252:OXB393253 PGX393252:PGX393253 PQT393252:PQT393253 QAP393252:QAP393253 QKL393252:QKL393253 QUH393252:QUH393253 RED393252:RED393253 RNZ393252:RNZ393253 RXV393252:RXV393253 SHR393252:SHR393253 SRN393252:SRN393253 TBJ393252:TBJ393253 TLF393252:TLF393253 TVB393252:TVB393253 UEX393252:UEX393253 UOT393252:UOT393253 UYP393252:UYP393253 VIL393252:VIL393253 VSH393252:VSH393253 WCD393252:WCD393253 WLZ393252:WLZ393253 WVV393252:WVV393253 N458788:N458789 JJ458788:JJ458789 TF458788:TF458789 ADB458788:ADB458789 AMX458788:AMX458789 AWT458788:AWT458789 BGP458788:BGP458789 BQL458788:BQL458789 CAH458788:CAH458789 CKD458788:CKD458789 CTZ458788:CTZ458789 DDV458788:DDV458789 DNR458788:DNR458789 DXN458788:DXN458789 EHJ458788:EHJ458789 ERF458788:ERF458789 FBB458788:FBB458789 FKX458788:FKX458789 FUT458788:FUT458789 GEP458788:GEP458789 GOL458788:GOL458789 GYH458788:GYH458789 HID458788:HID458789 HRZ458788:HRZ458789 IBV458788:IBV458789 ILR458788:ILR458789 IVN458788:IVN458789 JFJ458788:JFJ458789 JPF458788:JPF458789 JZB458788:JZB458789 KIX458788:KIX458789 KST458788:KST458789 LCP458788:LCP458789 LML458788:LML458789 LWH458788:LWH458789 MGD458788:MGD458789 MPZ458788:MPZ458789 MZV458788:MZV458789 NJR458788:NJR458789 NTN458788:NTN458789 ODJ458788:ODJ458789 ONF458788:ONF458789 OXB458788:OXB458789 PGX458788:PGX458789 PQT458788:PQT458789 QAP458788:QAP458789 QKL458788:QKL458789 QUH458788:QUH458789 RED458788:RED458789 RNZ458788:RNZ458789 RXV458788:RXV458789 SHR458788:SHR458789 SRN458788:SRN458789 TBJ458788:TBJ458789 TLF458788:TLF458789 TVB458788:TVB458789 UEX458788:UEX458789 UOT458788:UOT458789 UYP458788:UYP458789 VIL458788:VIL458789 VSH458788:VSH458789 WCD458788:WCD458789 WLZ458788:WLZ458789 WVV458788:WVV458789 N524324:N524325 JJ524324:JJ524325 TF524324:TF524325 ADB524324:ADB524325 AMX524324:AMX524325 AWT524324:AWT524325 BGP524324:BGP524325 BQL524324:BQL524325 CAH524324:CAH524325 CKD524324:CKD524325 CTZ524324:CTZ524325 DDV524324:DDV524325 DNR524324:DNR524325 DXN524324:DXN524325 EHJ524324:EHJ524325 ERF524324:ERF524325 FBB524324:FBB524325 FKX524324:FKX524325 FUT524324:FUT524325 GEP524324:GEP524325 GOL524324:GOL524325 GYH524324:GYH524325 HID524324:HID524325 HRZ524324:HRZ524325 IBV524324:IBV524325 ILR524324:ILR524325 IVN524324:IVN524325 JFJ524324:JFJ524325 JPF524324:JPF524325 JZB524324:JZB524325 KIX524324:KIX524325 KST524324:KST524325 LCP524324:LCP524325 LML524324:LML524325 LWH524324:LWH524325 MGD524324:MGD524325 MPZ524324:MPZ524325 MZV524324:MZV524325 NJR524324:NJR524325 NTN524324:NTN524325 ODJ524324:ODJ524325 ONF524324:ONF524325 OXB524324:OXB524325 PGX524324:PGX524325 PQT524324:PQT524325 QAP524324:QAP524325 QKL524324:QKL524325 QUH524324:QUH524325 RED524324:RED524325 RNZ524324:RNZ524325 RXV524324:RXV524325 SHR524324:SHR524325 SRN524324:SRN524325 TBJ524324:TBJ524325 TLF524324:TLF524325 TVB524324:TVB524325 UEX524324:UEX524325 UOT524324:UOT524325 UYP524324:UYP524325 VIL524324:VIL524325 VSH524324:VSH524325 WCD524324:WCD524325 WLZ524324:WLZ524325 WVV524324:WVV524325 N589860:N589861 JJ589860:JJ589861 TF589860:TF589861 ADB589860:ADB589861 AMX589860:AMX589861 AWT589860:AWT589861 BGP589860:BGP589861 BQL589860:BQL589861 CAH589860:CAH589861 CKD589860:CKD589861 CTZ589860:CTZ589861 DDV589860:DDV589861 DNR589860:DNR589861 DXN589860:DXN589861 EHJ589860:EHJ589861 ERF589860:ERF589861 FBB589860:FBB589861 FKX589860:FKX589861 FUT589860:FUT589861 GEP589860:GEP589861 GOL589860:GOL589861 GYH589860:GYH589861 HID589860:HID589861 HRZ589860:HRZ589861 IBV589860:IBV589861 ILR589860:ILR589861 IVN589860:IVN589861 JFJ589860:JFJ589861 JPF589860:JPF589861 JZB589860:JZB589861 KIX589860:KIX589861 KST589860:KST589861 LCP589860:LCP589861 LML589860:LML589861 LWH589860:LWH589861 MGD589860:MGD589861 MPZ589860:MPZ589861 MZV589860:MZV589861 NJR589860:NJR589861 NTN589860:NTN589861 ODJ589860:ODJ589861 ONF589860:ONF589861 OXB589860:OXB589861 PGX589860:PGX589861 PQT589860:PQT589861 QAP589860:QAP589861 QKL589860:QKL589861 QUH589860:QUH589861 RED589860:RED589861 RNZ589860:RNZ589861 RXV589860:RXV589861 SHR589860:SHR589861 SRN589860:SRN589861 TBJ589860:TBJ589861 TLF589860:TLF589861 TVB589860:TVB589861 UEX589860:UEX589861 UOT589860:UOT589861 UYP589860:UYP589861 VIL589860:VIL589861 VSH589860:VSH589861 WCD589860:WCD589861 WLZ589860:WLZ589861 WVV589860:WVV589861 N655396:N655397 JJ655396:JJ655397 TF655396:TF655397 ADB655396:ADB655397 AMX655396:AMX655397 AWT655396:AWT655397 BGP655396:BGP655397 BQL655396:BQL655397 CAH655396:CAH655397 CKD655396:CKD655397 CTZ655396:CTZ655397 DDV655396:DDV655397 DNR655396:DNR655397 DXN655396:DXN655397 EHJ655396:EHJ655397 ERF655396:ERF655397 FBB655396:FBB655397 FKX655396:FKX655397 FUT655396:FUT655397 GEP655396:GEP655397 GOL655396:GOL655397 GYH655396:GYH655397 HID655396:HID655397 HRZ655396:HRZ655397 IBV655396:IBV655397 ILR655396:ILR655397 IVN655396:IVN655397 JFJ655396:JFJ655397 JPF655396:JPF655397 JZB655396:JZB655397 KIX655396:KIX655397 KST655396:KST655397 LCP655396:LCP655397 LML655396:LML655397 LWH655396:LWH655397 MGD655396:MGD655397 MPZ655396:MPZ655397 MZV655396:MZV655397 NJR655396:NJR655397 NTN655396:NTN655397 ODJ655396:ODJ655397 ONF655396:ONF655397 OXB655396:OXB655397 PGX655396:PGX655397 PQT655396:PQT655397 QAP655396:QAP655397 QKL655396:QKL655397 QUH655396:QUH655397 RED655396:RED655397 RNZ655396:RNZ655397 RXV655396:RXV655397 SHR655396:SHR655397 SRN655396:SRN655397 TBJ655396:TBJ655397 TLF655396:TLF655397 TVB655396:TVB655397 UEX655396:UEX655397 UOT655396:UOT655397 UYP655396:UYP655397 VIL655396:VIL655397 VSH655396:VSH655397 WCD655396:WCD655397 WLZ655396:WLZ655397 WVV655396:WVV655397 N720932:N720933 JJ720932:JJ720933 TF720932:TF720933 ADB720932:ADB720933 AMX720932:AMX720933 AWT720932:AWT720933 BGP720932:BGP720933 BQL720932:BQL720933 CAH720932:CAH720933 CKD720932:CKD720933 CTZ720932:CTZ720933 DDV720932:DDV720933 DNR720932:DNR720933 DXN720932:DXN720933 EHJ720932:EHJ720933 ERF720932:ERF720933 FBB720932:FBB720933 FKX720932:FKX720933 FUT720932:FUT720933 GEP720932:GEP720933 GOL720932:GOL720933 GYH720932:GYH720933 HID720932:HID720933 HRZ720932:HRZ720933 IBV720932:IBV720933 ILR720932:ILR720933 IVN720932:IVN720933 JFJ720932:JFJ720933 JPF720932:JPF720933 JZB720932:JZB720933 KIX720932:KIX720933 KST720932:KST720933 LCP720932:LCP720933 LML720932:LML720933 LWH720932:LWH720933 MGD720932:MGD720933 MPZ720932:MPZ720933 MZV720932:MZV720933 NJR720932:NJR720933 NTN720932:NTN720933 ODJ720932:ODJ720933 ONF720932:ONF720933 OXB720932:OXB720933 PGX720932:PGX720933 PQT720932:PQT720933 QAP720932:QAP720933 QKL720932:QKL720933 QUH720932:QUH720933 RED720932:RED720933 RNZ720932:RNZ720933 RXV720932:RXV720933 SHR720932:SHR720933 SRN720932:SRN720933 TBJ720932:TBJ720933 TLF720932:TLF720933 TVB720932:TVB720933 UEX720932:UEX720933 UOT720932:UOT720933 UYP720932:UYP720933 VIL720932:VIL720933 VSH720932:VSH720933 WCD720932:WCD720933 WLZ720932:WLZ720933 WVV720932:WVV720933 N786468:N786469 JJ786468:JJ786469 TF786468:TF786469 ADB786468:ADB786469 AMX786468:AMX786469 AWT786468:AWT786469 BGP786468:BGP786469 BQL786468:BQL786469 CAH786468:CAH786469 CKD786468:CKD786469 CTZ786468:CTZ786469 DDV786468:DDV786469 DNR786468:DNR786469 DXN786468:DXN786469 EHJ786468:EHJ786469 ERF786468:ERF786469 FBB786468:FBB786469 FKX786468:FKX786469 FUT786468:FUT786469 GEP786468:GEP786469 GOL786468:GOL786469 GYH786468:GYH786469 HID786468:HID786469 HRZ786468:HRZ786469 IBV786468:IBV786469 ILR786468:ILR786469 IVN786468:IVN786469 JFJ786468:JFJ786469 JPF786468:JPF786469 JZB786468:JZB786469 KIX786468:KIX786469 KST786468:KST786469 LCP786468:LCP786469 LML786468:LML786469 LWH786468:LWH786469 MGD786468:MGD786469 MPZ786468:MPZ786469 MZV786468:MZV786469 NJR786468:NJR786469 NTN786468:NTN786469 ODJ786468:ODJ786469 ONF786468:ONF786469 OXB786468:OXB786469 PGX786468:PGX786469 PQT786468:PQT786469 QAP786468:QAP786469 QKL786468:QKL786469 QUH786468:QUH786469 RED786468:RED786469 RNZ786468:RNZ786469 RXV786468:RXV786469 SHR786468:SHR786469 SRN786468:SRN786469 TBJ786468:TBJ786469 TLF786468:TLF786469 TVB786468:TVB786469 UEX786468:UEX786469 UOT786468:UOT786469 UYP786468:UYP786469 VIL786468:VIL786469 VSH786468:VSH786469 WCD786468:WCD786469 WLZ786468:WLZ786469 WVV786468:WVV786469 N852004:N852005 JJ852004:JJ852005 TF852004:TF852005 ADB852004:ADB852005 AMX852004:AMX852005 AWT852004:AWT852005 BGP852004:BGP852005 BQL852004:BQL852005 CAH852004:CAH852005 CKD852004:CKD852005 CTZ852004:CTZ852005 DDV852004:DDV852005 DNR852004:DNR852005 DXN852004:DXN852005 EHJ852004:EHJ852005 ERF852004:ERF852005 FBB852004:FBB852005 FKX852004:FKX852005 FUT852004:FUT852005 GEP852004:GEP852005 GOL852004:GOL852005 GYH852004:GYH852005 HID852004:HID852005 HRZ852004:HRZ852005 IBV852004:IBV852005 ILR852004:ILR852005 IVN852004:IVN852005 JFJ852004:JFJ852005 JPF852004:JPF852005 JZB852004:JZB852005 KIX852004:KIX852005 KST852004:KST852005 LCP852004:LCP852005 LML852004:LML852005 LWH852004:LWH852005 MGD852004:MGD852005 MPZ852004:MPZ852005 MZV852004:MZV852005 NJR852004:NJR852005 NTN852004:NTN852005 ODJ852004:ODJ852005 ONF852004:ONF852005 OXB852004:OXB852005 PGX852004:PGX852005 PQT852004:PQT852005 QAP852004:QAP852005 QKL852004:QKL852005 QUH852004:QUH852005 RED852004:RED852005 RNZ852004:RNZ852005 RXV852004:RXV852005 SHR852004:SHR852005 SRN852004:SRN852005 TBJ852004:TBJ852005 TLF852004:TLF852005 TVB852004:TVB852005 UEX852004:UEX852005 UOT852004:UOT852005 UYP852004:UYP852005 VIL852004:VIL852005 VSH852004:VSH852005 WCD852004:WCD852005 WLZ852004:WLZ852005 WVV852004:WVV852005 N917540:N917541 JJ917540:JJ917541 TF917540:TF917541 ADB917540:ADB917541 AMX917540:AMX917541 AWT917540:AWT917541 BGP917540:BGP917541 BQL917540:BQL917541 CAH917540:CAH917541 CKD917540:CKD917541 CTZ917540:CTZ917541 DDV917540:DDV917541 DNR917540:DNR917541 DXN917540:DXN917541 EHJ917540:EHJ917541 ERF917540:ERF917541 FBB917540:FBB917541 FKX917540:FKX917541 FUT917540:FUT917541 GEP917540:GEP917541 GOL917540:GOL917541 GYH917540:GYH917541 HID917540:HID917541 HRZ917540:HRZ917541 IBV917540:IBV917541 ILR917540:ILR917541 IVN917540:IVN917541 JFJ917540:JFJ917541 JPF917540:JPF917541 JZB917540:JZB917541 KIX917540:KIX917541 KST917540:KST917541 LCP917540:LCP917541 LML917540:LML917541 LWH917540:LWH917541 MGD917540:MGD917541 MPZ917540:MPZ917541 MZV917540:MZV917541 NJR917540:NJR917541 NTN917540:NTN917541 ODJ917540:ODJ917541 ONF917540:ONF917541 OXB917540:OXB917541 PGX917540:PGX917541 PQT917540:PQT917541 QAP917540:QAP917541 QKL917540:QKL917541 QUH917540:QUH917541 RED917540:RED917541 RNZ917540:RNZ917541 RXV917540:RXV917541 SHR917540:SHR917541 SRN917540:SRN917541 TBJ917540:TBJ917541 TLF917540:TLF917541 TVB917540:TVB917541 UEX917540:UEX917541 UOT917540:UOT917541 UYP917540:UYP917541 VIL917540:VIL917541 VSH917540:VSH917541 WCD917540:WCD917541 WLZ917540:WLZ917541 WVV917540:WVV917541 N983076:N983077 JJ983076:JJ983077 TF983076:TF983077 ADB983076:ADB983077 AMX983076:AMX983077 AWT983076:AWT983077 BGP983076:BGP983077 BQL983076:BQL983077 CAH983076:CAH983077 CKD983076:CKD983077 CTZ983076:CTZ983077 DDV983076:DDV983077 DNR983076:DNR983077 DXN983076:DXN983077 EHJ983076:EHJ983077 ERF983076:ERF983077 FBB983076:FBB983077 FKX983076:FKX983077 FUT983076:FUT983077 GEP983076:GEP983077 GOL983076:GOL983077 GYH983076:GYH983077 HID983076:HID983077 HRZ983076:HRZ983077 IBV983076:IBV983077 ILR983076:ILR983077 IVN983076:IVN983077 JFJ983076:JFJ983077 JPF983076:JPF983077 JZB983076:JZB983077 KIX983076:KIX983077 KST983076:KST983077 LCP983076:LCP983077 LML983076:LML983077 LWH983076:LWH983077 MGD983076:MGD983077 MPZ983076:MPZ983077 MZV983076:MZV983077 NJR983076:NJR983077 NTN983076:NTN983077 ODJ983076:ODJ983077 ONF983076:ONF983077 OXB983076:OXB983077 PGX983076:PGX983077 PQT983076:PQT983077 QAP983076:QAP983077 QKL983076:QKL983077 QUH983076:QUH983077 RED983076:RED983077 RNZ983076:RNZ983077 RXV983076:RXV983077 SHR983076:SHR983077 SRN983076:SRN983077 TBJ983076:TBJ983077 TLF983076:TLF983077 TVB983076:TVB983077 UEX983076:UEX983077 UOT983076:UOT983077 UYP983076:UYP983077 VIL983076:VIL983077 VSH983076:VSH983077 WCD983076:WCD983077 WLZ983076:WLZ983077 WVV983076:WVV983077 WCD983111:WCD983113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N65568 JJ65568 TF65568 ADB65568 AMX65568 AWT65568 BGP65568 BQL65568 CAH65568 CKD65568 CTZ65568 DDV65568 DNR65568 DXN65568 EHJ65568 ERF65568 FBB65568 FKX65568 FUT65568 GEP65568 GOL65568 GYH65568 HID65568 HRZ65568 IBV65568 ILR65568 IVN65568 JFJ65568 JPF65568 JZB65568 KIX65568 KST65568 LCP65568 LML65568 LWH65568 MGD65568 MPZ65568 MZV65568 NJR65568 NTN65568 ODJ65568 ONF65568 OXB65568 PGX65568 PQT65568 QAP65568 QKL65568 QUH65568 RED65568 RNZ65568 RXV65568 SHR65568 SRN65568 TBJ65568 TLF65568 TVB65568 UEX65568 UOT65568 UYP65568 VIL65568 VSH65568 WCD65568 WLZ65568 WVV65568 N131104 JJ131104 TF131104 ADB131104 AMX131104 AWT131104 BGP131104 BQL131104 CAH131104 CKD131104 CTZ131104 DDV131104 DNR131104 DXN131104 EHJ131104 ERF131104 FBB131104 FKX131104 FUT131104 GEP131104 GOL131104 GYH131104 HID131104 HRZ131104 IBV131104 ILR131104 IVN131104 JFJ131104 JPF131104 JZB131104 KIX131104 KST131104 LCP131104 LML131104 LWH131104 MGD131104 MPZ131104 MZV131104 NJR131104 NTN131104 ODJ131104 ONF131104 OXB131104 PGX131104 PQT131104 QAP131104 QKL131104 QUH131104 RED131104 RNZ131104 RXV131104 SHR131104 SRN131104 TBJ131104 TLF131104 TVB131104 UEX131104 UOT131104 UYP131104 VIL131104 VSH131104 WCD131104 WLZ131104 WVV131104 N196640 JJ196640 TF196640 ADB196640 AMX196640 AWT196640 BGP196640 BQL196640 CAH196640 CKD196640 CTZ196640 DDV196640 DNR196640 DXN196640 EHJ196640 ERF196640 FBB196640 FKX196640 FUT196640 GEP196640 GOL196640 GYH196640 HID196640 HRZ196640 IBV196640 ILR196640 IVN196640 JFJ196640 JPF196640 JZB196640 KIX196640 KST196640 LCP196640 LML196640 LWH196640 MGD196640 MPZ196640 MZV196640 NJR196640 NTN196640 ODJ196640 ONF196640 OXB196640 PGX196640 PQT196640 QAP196640 QKL196640 QUH196640 RED196640 RNZ196640 RXV196640 SHR196640 SRN196640 TBJ196640 TLF196640 TVB196640 UEX196640 UOT196640 UYP196640 VIL196640 VSH196640 WCD196640 WLZ196640 WVV196640 N262176 JJ262176 TF262176 ADB262176 AMX262176 AWT262176 BGP262176 BQL262176 CAH262176 CKD262176 CTZ262176 DDV262176 DNR262176 DXN262176 EHJ262176 ERF262176 FBB262176 FKX262176 FUT262176 GEP262176 GOL262176 GYH262176 HID262176 HRZ262176 IBV262176 ILR262176 IVN262176 JFJ262176 JPF262176 JZB262176 KIX262176 KST262176 LCP262176 LML262176 LWH262176 MGD262176 MPZ262176 MZV262176 NJR262176 NTN262176 ODJ262176 ONF262176 OXB262176 PGX262176 PQT262176 QAP262176 QKL262176 QUH262176 RED262176 RNZ262176 RXV262176 SHR262176 SRN262176 TBJ262176 TLF262176 TVB262176 UEX262176 UOT262176 UYP262176 VIL262176 VSH262176 WCD262176 WLZ262176 WVV262176 N327712 JJ327712 TF327712 ADB327712 AMX327712 AWT327712 BGP327712 BQL327712 CAH327712 CKD327712 CTZ327712 DDV327712 DNR327712 DXN327712 EHJ327712 ERF327712 FBB327712 FKX327712 FUT327712 GEP327712 GOL327712 GYH327712 HID327712 HRZ327712 IBV327712 ILR327712 IVN327712 JFJ327712 JPF327712 JZB327712 KIX327712 KST327712 LCP327712 LML327712 LWH327712 MGD327712 MPZ327712 MZV327712 NJR327712 NTN327712 ODJ327712 ONF327712 OXB327712 PGX327712 PQT327712 QAP327712 QKL327712 QUH327712 RED327712 RNZ327712 RXV327712 SHR327712 SRN327712 TBJ327712 TLF327712 TVB327712 UEX327712 UOT327712 UYP327712 VIL327712 VSH327712 WCD327712 WLZ327712 WVV327712 N393248 JJ393248 TF393248 ADB393248 AMX393248 AWT393248 BGP393248 BQL393248 CAH393248 CKD393248 CTZ393248 DDV393248 DNR393248 DXN393248 EHJ393248 ERF393248 FBB393248 FKX393248 FUT393248 GEP393248 GOL393248 GYH393248 HID393248 HRZ393248 IBV393248 ILR393248 IVN393248 JFJ393248 JPF393248 JZB393248 KIX393248 KST393248 LCP393248 LML393248 LWH393248 MGD393248 MPZ393248 MZV393248 NJR393248 NTN393248 ODJ393248 ONF393248 OXB393248 PGX393248 PQT393248 QAP393248 QKL393248 QUH393248 RED393248 RNZ393248 RXV393248 SHR393248 SRN393248 TBJ393248 TLF393248 TVB393248 UEX393248 UOT393248 UYP393248 VIL393248 VSH393248 WCD393248 WLZ393248 WVV393248 N458784 JJ458784 TF458784 ADB458784 AMX458784 AWT458784 BGP458784 BQL458784 CAH458784 CKD458784 CTZ458784 DDV458784 DNR458784 DXN458784 EHJ458784 ERF458784 FBB458784 FKX458784 FUT458784 GEP458784 GOL458784 GYH458784 HID458784 HRZ458784 IBV458784 ILR458784 IVN458784 JFJ458784 JPF458784 JZB458784 KIX458784 KST458784 LCP458784 LML458784 LWH458784 MGD458784 MPZ458784 MZV458784 NJR458784 NTN458784 ODJ458784 ONF458784 OXB458784 PGX458784 PQT458784 QAP458784 QKL458784 QUH458784 RED458784 RNZ458784 RXV458784 SHR458784 SRN458784 TBJ458784 TLF458784 TVB458784 UEX458784 UOT458784 UYP458784 VIL458784 VSH458784 WCD458784 WLZ458784 WVV458784 N524320 JJ524320 TF524320 ADB524320 AMX524320 AWT524320 BGP524320 BQL524320 CAH524320 CKD524320 CTZ524320 DDV524320 DNR524320 DXN524320 EHJ524320 ERF524320 FBB524320 FKX524320 FUT524320 GEP524320 GOL524320 GYH524320 HID524320 HRZ524320 IBV524320 ILR524320 IVN524320 JFJ524320 JPF524320 JZB524320 KIX524320 KST524320 LCP524320 LML524320 LWH524320 MGD524320 MPZ524320 MZV524320 NJR524320 NTN524320 ODJ524320 ONF524320 OXB524320 PGX524320 PQT524320 QAP524320 QKL524320 QUH524320 RED524320 RNZ524320 RXV524320 SHR524320 SRN524320 TBJ524320 TLF524320 TVB524320 UEX524320 UOT524320 UYP524320 VIL524320 VSH524320 WCD524320 WLZ524320 WVV524320 N589856 JJ589856 TF589856 ADB589856 AMX589856 AWT589856 BGP589856 BQL589856 CAH589856 CKD589856 CTZ589856 DDV589856 DNR589856 DXN589856 EHJ589856 ERF589856 FBB589856 FKX589856 FUT589856 GEP589856 GOL589856 GYH589856 HID589856 HRZ589856 IBV589856 ILR589856 IVN589856 JFJ589856 JPF589856 JZB589856 KIX589856 KST589856 LCP589856 LML589856 LWH589856 MGD589856 MPZ589856 MZV589856 NJR589856 NTN589856 ODJ589856 ONF589856 OXB589856 PGX589856 PQT589856 QAP589856 QKL589856 QUH589856 RED589856 RNZ589856 RXV589856 SHR589856 SRN589856 TBJ589856 TLF589856 TVB589856 UEX589856 UOT589856 UYP589856 VIL589856 VSH589856 WCD589856 WLZ589856 WVV589856 N655392 JJ655392 TF655392 ADB655392 AMX655392 AWT655392 BGP655392 BQL655392 CAH655392 CKD655392 CTZ655392 DDV655392 DNR655392 DXN655392 EHJ655392 ERF655392 FBB655392 FKX655392 FUT655392 GEP655392 GOL655392 GYH655392 HID655392 HRZ655392 IBV655392 ILR655392 IVN655392 JFJ655392 JPF655392 JZB655392 KIX655392 KST655392 LCP655392 LML655392 LWH655392 MGD655392 MPZ655392 MZV655392 NJR655392 NTN655392 ODJ655392 ONF655392 OXB655392 PGX655392 PQT655392 QAP655392 QKL655392 QUH655392 RED655392 RNZ655392 RXV655392 SHR655392 SRN655392 TBJ655392 TLF655392 TVB655392 UEX655392 UOT655392 UYP655392 VIL655392 VSH655392 WCD655392 WLZ655392 WVV655392 N720928 JJ720928 TF720928 ADB720928 AMX720928 AWT720928 BGP720928 BQL720928 CAH720928 CKD720928 CTZ720928 DDV720928 DNR720928 DXN720928 EHJ720928 ERF720928 FBB720928 FKX720928 FUT720928 GEP720928 GOL720928 GYH720928 HID720928 HRZ720928 IBV720928 ILR720928 IVN720928 JFJ720928 JPF720928 JZB720928 KIX720928 KST720928 LCP720928 LML720928 LWH720928 MGD720928 MPZ720928 MZV720928 NJR720928 NTN720928 ODJ720928 ONF720928 OXB720928 PGX720928 PQT720928 QAP720928 QKL720928 QUH720928 RED720928 RNZ720928 RXV720928 SHR720928 SRN720928 TBJ720928 TLF720928 TVB720928 UEX720928 UOT720928 UYP720928 VIL720928 VSH720928 WCD720928 WLZ720928 WVV720928 N786464 JJ786464 TF786464 ADB786464 AMX786464 AWT786464 BGP786464 BQL786464 CAH786464 CKD786464 CTZ786464 DDV786464 DNR786464 DXN786464 EHJ786464 ERF786464 FBB786464 FKX786464 FUT786464 GEP786464 GOL786464 GYH786464 HID786464 HRZ786464 IBV786464 ILR786464 IVN786464 JFJ786464 JPF786464 JZB786464 KIX786464 KST786464 LCP786464 LML786464 LWH786464 MGD786464 MPZ786464 MZV786464 NJR786464 NTN786464 ODJ786464 ONF786464 OXB786464 PGX786464 PQT786464 QAP786464 QKL786464 QUH786464 RED786464 RNZ786464 RXV786464 SHR786464 SRN786464 TBJ786464 TLF786464 TVB786464 UEX786464 UOT786464 UYP786464 VIL786464 VSH786464 WCD786464 WLZ786464 WVV786464 N852000 JJ852000 TF852000 ADB852000 AMX852000 AWT852000 BGP852000 BQL852000 CAH852000 CKD852000 CTZ852000 DDV852000 DNR852000 DXN852000 EHJ852000 ERF852000 FBB852000 FKX852000 FUT852000 GEP852000 GOL852000 GYH852000 HID852000 HRZ852000 IBV852000 ILR852000 IVN852000 JFJ852000 JPF852000 JZB852000 KIX852000 KST852000 LCP852000 LML852000 LWH852000 MGD852000 MPZ852000 MZV852000 NJR852000 NTN852000 ODJ852000 ONF852000 OXB852000 PGX852000 PQT852000 QAP852000 QKL852000 QUH852000 RED852000 RNZ852000 RXV852000 SHR852000 SRN852000 TBJ852000 TLF852000 TVB852000 UEX852000 UOT852000 UYP852000 VIL852000 VSH852000 WCD852000 WLZ852000 WVV852000 N917536 JJ917536 TF917536 ADB917536 AMX917536 AWT917536 BGP917536 BQL917536 CAH917536 CKD917536 CTZ917536 DDV917536 DNR917536 DXN917536 EHJ917536 ERF917536 FBB917536 FKX917536 FUT917536 GEP917536 GOL917536 GYH917536 HID917536 HRZ917536 IBV917536 ILR917536 IVN917536 JFJ917536 JPF917536 JZB917536 KIX917536 KST917536 LCP917536 LML917536 LWH917536 MGD917536 MPZ917536 MZV917536 NJR917536 NTN917536 ODJ917536 ONF917536 OXB917536 PGX917536 PQT917536 QAP917536 QKL917536 QUH917536 RED917536 RNZ917536 RXV917536 SHR917536 SRN917536 TBJ917536 TLF917536 TVB917536 UEX917536 UOT917536 UYP917536 VIL917536 VSH917536 WCD917536 WLZ917536 WVV917536 N983072 JJ983072 TF983072 ADB983072 AMX983072 AWT983072 BGP983072 BQL983072 CAH983072 CKD983072 CTZ983072 DDV983072 DNR983072 DXN983072 EHJ983072 ERF983072 FBB983072 FKX983072 FUT983072 GEP983072 GOL983072 GYH983072 HID983072 HRZ983072 IBV983072 ILR983072 IVN983072 JFJ983072 JPF983072 JZB983072 KIX983072 KST983072 LCP983072 LML983072 LWH983072 MGD983072 MPZ983072 MZV983072 NJR983072 NTN983072 ODJ983072 ONF983072 OXB983072 PGX983072 PQT983072 QAP983072 QKL983072 QUH983072 RED983072 RNZ983072 RXV983072 SHR983072 SRN983072 TBJ983072 TLF983072 TVB983072 UEX983072 UOT983072 UYP983072 VIL983072 VSH983072 WCD983072 WLZ983072 WVV983072 UYP983111:UYP983113 JJ53:JJ55 TF53:TF55 ADB53:ADB55 AMX53:AMX55 AWT53:AWT55 BGP53:BGP55 BQL53:BQL55 CAH53:CAH55 CKD53:CKD55 CTZ53:CTZ55 DDV53:DDV55 DNR53:DNR55 DXN53:DXN55 EHJ53:EHJ55 ERF53:ERF55 FBB53:FBB55 FKX53:FKX55 FUT53:FUT55 GEP53:GEP55 GOL53:GOL55 GYH53:GYH55 HID53:HID55 HRZ53:HRZ55 IBV53:IBV55 ILR53:ILR55 IVN53:IVN55 JFJ53:JFJ55 JPF53:JPF55 JZB53:JZB55 KIX53:KIX55 KST53:KST55 LCP53:LCP55 LML53:LML55 LWH53:LWH55 MGD53:MGD55 MPZ53:MPZ55 MZV53:MZV55 NJR53:NJR55 NTN53:NTN55 ODJ53:ODJ55 ONF53:ONF55 OXB53:OXB55 PGX53:PGX55 PQT53:PQT55 QAP53:QAP55 QKL53:QKL55 QUH53:QUH55 RED53:RED55 RNZ53:RNZ55 RXV53:RXV55 SHR53:SHR55 SRN53:SRN55 TBJ53:TBJ55 TLF53:TLF55 TVB53:TVB55 UEX53:UEX55 UOT53:UOT55 UYP53:UYP55 VIL53:VIL55 VSH53:VSH55 WCD53:WCD55 WLZ53:WLZ55 WVV53:WVV55 N65591:N65593 JJ65591:JJ65593 TF65591:TF65593 ADB65591:ADB65593 AMX65591:AMX65593 AWT65591:AWT65593 BGP65591:BGP65593 BQL65591:BQL65593 CAH65591:CAH65593 CKD65591:CKD65593 CTZ65591:CTZ65593 DDV65591:DDV65593 DNR65591:DNR65593 DXN65591:DXN65593 EHJ65591:EHJ65593 ERF65591:ERF65593 FBB65591:FBB65593 FKX65591:FKX65593 FUT65591:FUT65593 GEP65591:GEP65593 GOL65591:GOL65593 GYH65591:GYH65593 HID65591:HID65593 HRZ65591:HRZ65593 IBV65591:IBV65593 ILR65591:ILR65593 IVN65591:IVN65593 JFJ65591:JFJ65593 JPF65591:JPF65593 JZB65591:JZB65593 KIX65591:KIX65593 KST65591:KST65593 LCP65591:LCP65593 LML65591:LML65593 LWH65591:LWH65593 MGD65591:MGD65593 MPZ65591:MPZ65593 MZV65591:MZV65593 NJR65591:NJR65593 NTN65591:NTN65593 ODJ65591:ODJ65593 ONF65591:ONF65593 OXB65591:OXB65593 PGX65591:PGX65593 PQT65591:PQT65593 QAP65591:QAP65593 QKL65591:QKL65593 QUH65591:QUH65593 RED65591:RED65593 RNZ65591:RNZ65593 RXV65591:RXV65593 SHR65591:SHR65593 SRN65591:SRN65593 TBJ65591:TBJ65593 TLF65591:TLF65593 TVB65591:TVB65593 UEX65591:UEX65593 UOT65591:UOT65593 UYP65591:UYP65593 VIL65591:VIL65593 VSH65591:VSH65593 WCD65591:WCD65593 WLZ65591:WLZ65593 WVV65591:WVV65593 N131127:N131129 JJ131127:JJ131129 TF131127:TF131129 ADB131127:ADB131129 AMX131127:AMX131129 AWT131127:AWT131129 BGP131127:BGP131129 BQL131127:BQL131129 CAH131127:CAH131129 CKD131127:CKD131129 CTZ131127:CTZ131129 DDV131127:DDV131129 DNR131127:DNR131129 DXN131127:DXN131129 EHJ131127:EHJ131129 ERF131127:ERF131129 FBB131127:FBB131129 FKX131127:FKX131129 FUT131127:FUT131129 GEP131127:GEP131129 GOL131127:GOL131129 GYH131127:GYH131129 HID131127:HID131129 HRZ131127:HRZ131129 IBV131127:IBV131129 ILR131127:ILR131129 IVN131127:IVN131129 JFJ131127:JFJ131129 JPF131127:JPF131129 JZB131127:JZB131129 KIX131127:KIX131129 KST131127:KST131129 LCP131127:LCP131129 LML131127:LML131129 LWH131127:LWH131129 MGD131127:MGD131129 MPZ131127:MPZ131129 MZV131127:MZV131129 NJR131127:NJR131129 NTN131127:NTN131129 ODJ131127:ODJ131129 ONF131127:ONF131129 OXB131127:OXB131129 PGX131127:PGX131129 PQT131127:PQT131129 QAP131127:QAP131129 QKL131127:QKL131129 QUH131127:QUH131129 RED131127:RED131129 RNZ131127:RNZ131129 RXV131127:RXV131129 SHR131127:SHR131129 SRN131127:SRN131129 TBJ131127:TBJ131129 TLF131127:TLF131129 TVB131127:TVB131129 UEX131127:UEX131129 UOT131127:UOT131129 UYP131127:UYP131129 VIL131127:VIL131129 VSH131127:VSH131129 WCD131127:WCD131129 WLZ131127:WLZ131129 WVV131127:WVV131129 N196663:N196665 JJ196663:JJ196665 TF196663:TF196665 ADB196663:ADB196665 AMX196663:AMX196665 AWT196663:AWT196665 BGP196663:BGP196665 BQL196663:BQL196665 CAH196663:CAH196665 CKD196663:CKD196665 CTZ196663:CTZ196665 DDV196663:DDV196665 DNR196663:DNR196665 DXN196663:DXN196665 EHJ196663:EHJ196665 ERF196663:ERF196665 FBB196663:FBB196665 FKX196663:FKX196665 FUT196663:FUT196665 GEP196663:GEP196665 GOL196663:GOL196665 GYH196663:GYH196665 HID196663:HID196665 HRZ196663:HRZ196665 IBV196663:IBV196665 ILR196663:ILR196665 IVN196663:IVN196665 JFJ196663:JFJ196665 JPF196663:JPF196665 JZB196663:JZB196665 KIX196663:KIX196665 KST196663:KST196665 LCP196663:LCP196665 LML196663:LML196665 LWH196663:LWH196665 MGD196663:MGD196665 MPZ196663:MPZ196665 MZV196663:MZV196665 NJR196663:NJR196665 NTN196663:NTN196665 ODJ196663:ODJ196665 ONF196663:ONF196665 OXB196663:OXB196665 PGX196663:PGX196665 PQT196663:PQT196665 QAP196663:QAP196665 QKL196663:QKL196665 QUH196663:QUH196665 RED196663:RED196665 RNZ196663:RNZ196665 RXV196663:RXV196665 SHR196663:SHR196665 SRN196663:SRN196665 TBJ196663:TBJ196665 TLF196663:TLF196665 TVB196663:TVB196665 UEX196663:UEX196665 UOT196663:UOT196665 UYP196663:UYP196665 VIL196663:VIL196665 VSH196663:VSH196665 WCD196663:WCD196665 WLZ196663:WLZ196665 WVV196663:WVV196665 N262199:N262201 JJ262199:JJ262201 TF262199:TF262201 ADB262199:ADB262201 AMX262199:AMX262201 AWT262199:AWT262201 BGP262199:BGP262201 BQL262199:BQL262201 CAH262199:CAH262201 CKD262199:CKD262201 CTZ262199:CTZ262201 DDV262199:DDV262201 DNR262199:DNR262201 DXN262199:DXN262201 EHJ262199:EHJ262201 ERF262199:ERF262201 FBB262199:FBB262201 FKX262199:FKX262201 FUT262199:FUT262201 GEP262199:GEP262201 GOL262199:GOL262201 GYH262199:GYH262201 HID262199:HID262201 HRZ262199:HRZ262201 IBV262199:IBV262201 ILR262199:ILR262201 IVN262199:IVN262201 JFJ262199:JFJ262201 JPF262199:JPF262201 JZB262199:JZB262201 KIX262199:KIX262201 KST262199:KST262201 LCP262199:LCP262201 LML262199:LML262201 LWH262199:LWH262201 MGD262199:MGD262201 MPZ262199:MPZ262201 MZV262199:MZV262201 NJR262199:NJR262201 NTN262199:NTN262201 ODJ262199:ODJ262201 ONF262199:ONF262201 OXB262199:OXB262201 PGX262199:PGX262201 PQT262199:PQT262201 QAP262199:QAP262201 QKL262199:QKL262201 QUH262199:QUH262201 RED262199:RED262201 RNZ262199:RNZ262201 RXV262199:RXV262201 SHR262199:SHR262201 SRN262199:SRN262201 TBJ262199:TBJ262201 TLF262199:TLF262201 TVB262199:TVB262201 UEX262199:UEX262201 UOT262199:UOT262201 UYP262199:UYP262201 VIL262199:VIL262201 VSH262199:VSH262201 WCD262199:WCD262201 WLZ262199:WLZ262201 WVV262199:WVV262201 N327735:N327737 JJ327735:JJ327737 TF327735:TF327737 ADB327735:ADB327737 AMX327735:AMX327737 AWT327735:AWT327737 BGP327735:BGP327737 BQL327735:BQL327737 CAH327735:CAH327737 CKD327735:CKD327737 CTZ327735:CTZ327737 DDV327735:DDV327737 DNR327735:DNR327737 DXN327735:DXN327737 EHJ327735:EHJ327737 ERF327735:ERF327737 FBB327735:FBB327737 FKX327735:FKX327737 FUT327735:FUT327737 GEP327735:GEP327737 GOL327735:GOL327737 GYH327735:GYH327737 HID327735:HID327737 HRZ327735:HRZ327737 IBV327735:IBV327737 ILR327735:ILR327737 IVN327735:IVN327737 JFJ327735:JFJ327737 JPF327735:JPF327737 JZB327735:JZB327737 KIX327735:KIX327737 KST327735:KST327737 LCP327735:LCP327737 LML327735:LML327737 LWH327735:LWH327737 MGD327735:MGD327737 MPZ327735:MPZ327737 MZV327735:MZV327737 NJR327735:NJR327737 NTN327735:NTN327737 ODJ327735:ODJ327737 ONF327735:ONF327737 OXB327735:OXB327737 PGX327735:PGX327737 PQT327735:PQT327737 QAP327735:QAP327737 QKL327735:QKL327737 QUH327735:QUH327737 RED327735:RED327737 RNZ327735:RNZ327737 RXV327735:RXV327737 SHR327735:SHR327737 SRN327735:SRN327737 TBJ327735:TBJ327737 TLF327735:TLF327737 TVB327735:TVB327737 UEX327735:UEX327737 UOT327735:UOT327737 UYP327735:UYP327737 VIL327735:VIL327737 VSH327735:VSH327737 WCD327735:WCD327737 WLZ327735:WLZ327737 WVV327735:WVV327737 N393271:N393273 JJ393271:JJ393273 TF393271:TF393273 ADB393271:ADB393273 AMX393271:AMX393273 AWT393271:AWT393273 BGP393271:BGP393273 BQL393271:BQL393273 CAH393271:CAH393273 CKD393271:CKD393273 CTZ393271:CTZ393273 DDV393271:DDV393273 DNR393271:DNR393273 DXN393271:DXN393273 EHJ393271:EHJ393273 ERF393271:ERF393273 FBB393271:FBB393273 FKX393271:FKX393273 FUT393271:FUT393273 GEP393271:GEP393273 GOL393271:GOL393273 GYH393271:GYH393273 HID393271:HID393273 HRZ393271:HRZ393273 IBV393271:IBV393273 ILR393271:ILR393273 IVN393271:IVN393273 JFJ393271:JFJ393273 JPF393271:JPF393273 JZB393271:JZB393273 KIX393271:KIX393273 KST393271:KST393273 LCP393271:LCP393273 LML393271:LML393273 LWH393271:LWH393273 MGD393271:MGD393273 MPZ393271:MPZ393273 MZV393271:MZV393273 NJR393271:NJR393273 NTN393271:NTN393273 ODJ393271:ODJ393273 ONF393271:ONF393273 OXB393271:OXB393273 PGX393271:PGX393273 PQT393271:PQT393273 QAP393271:QAP393273 QKL393271:QKL393273 QUH393271:QUH393273 RED393271:RED393273 RNZ393271:RNZ393273 RXV393271:RXV393273 SHR393271:SHR393273 SRN393271:SRN393273 TBJ393271:TBJ393273 TLF393271:TLF393273 TVB393271:TVB393273 UEX393271:UEX393273 UOT393271:UOT393273 UYP393271:UYP393273 VIL393271:VIL393273 VSH393271:VSH393273 WCD393271:WCD393273 WLZ393271:WLZ393273 WVV393271:WVV393273 N458807:N458809 JJ458807:JJ458809 TF458807:TF458809 ADB458807:ADB458809 AMX458807:AMX458809 AWT458807:AWT458809 BGP458807:BGP458809 BQL458807:BQL458809 CAH458807:CAH458809 CKD458807:CKD458809 CTZ458807:CTZ458809 DDV458807:DDV458809 DNR458807:DNR458809 DXN458807:DXN458809 EHJ458807:EHJ458809 ERF458807:ERF458809 FBB458807:FBB458809 FKX458807:FKX458809 FUT458807:FUT458809 GEP458807:GEP458809 GOL458807:GOL458809 GYH458807:GYH458809 HID458807:HID458809 HRZ458807:HRZ458809 IBV458807:IBV458809 ILR458807:ILR458809 IVN458807:IVN458809 JFJ458807:JFJ458809 JPF458807:JPF458809 JZB458807:JZB458809 KIX458807:KIX458809 KST458807:KST458809 LCP458807:LCP458809 LML458807:LML458809 LWH458807:LWH458809 MGD458807:MGD458809 MPZ458807:MPZ458809 MZV458807:MZV458809 NJR458807:NJR458809 NTN458807:NTN458809 ODJ458807:ODJ458809 ONF458807:ONF458809 OXB458807:OXB458809 PGX458807:PGX458809 PQT458807:PQT458809 QAP458807:QAP458809 QKL458807:QKL458809 QUH458807:QUH458809 RED458807:RED458809 RNZ458807:RNZ458809 RXV458807:RXV458809 SHR458807:SHR458809 SRN458807:SRN458809 TBJ458807:TBJ458809 TLF458807:TLF458809 TVB458807:TVB458809 UEX458807:UEX458809 UOT458807:UOT458809 UYP458807:UYP458809 VIL458807:VIL458809 VSH458807:VSH458809 WCD458807:WCD458809 WLZ458807:WLZ458809 WVV458807:WVV458809 N524343:N524345 JJ524343:JJ524345 TF524343:TF524345 ADB524343:ADB524345 AMX524343:AMX524345 AWT524343:AWT524345 BGP524343:BGP524345 BQL524343:BQL524345 CAH524343:CAH524345 CKD524343:CKD524345 CTZ524343:CTZ524345 DDV524343:DDV524345 DNR524343:DNR524345 DXN524343:DXN524345 EHJ524343:EHJ524345 ERF524343:ERF524345 FBB524343:FBB524345 FKX524343:FKX524345 FUT524343:FUT524345 GEP524343:GEP524345 GOL524343:GOL524345 GYH524343:GYH524345 HID524343:HID524345 HRZ524343:HRZ524345 IBV524343:IBV524345 ILR524343:ILR524345 IVN524343:IVN524345 JFJ524343:JFJ524345 JPF524343:JPF524345 JZB524343:JZB524345 KIX524343:KIX524345 KST524343:KST524345 LCP524343:LCP524345 LML524343:LML524345 LWH524343:LWH524345 MGD524343:MGD524345 MPZ524343:MPZ524345 MZV524343:MZV524345 NJR524343:NJR524345 NTN524343:NTN524345 ODJ524343:ODJ524345 ONF524343:ONF524345 OXB524343:OXB524345 PGX524343:PGX524345 PQT524343:PQT524345 QAP524343:QAP524345 QKL524343:QKL524345 QUH524343:QUH524345 RED524343:RED524345 RNZ524343:RNZ524345 RXV524343:RXV524345 SHR524343:SHR524345 SRN524343:SRN524345 TBJ524343:TBJ524345 TLF524343:TLF524345 TVB524343:TVB524345 UEX524343:UEX524345 UOT524343:UOT524345 UYP524343:UYP524345 VIL524343:VIL524345 VSH524343:VSH524345 WCD524343:WCD524345 WLZ524343:WLZ524345 WVV524343:WVV524345 N589879:N589881 JJ589879:JJ589881 TF589879:TF589881 ADB589879:ADB589881 AMX589879:AMX589881 AWT589879:AWT589881 BGP589879:BGP589881 BQL589879:BQL589881 CAH589879:CAH589881 CKD589879:CKD589881 CTZ589879:CTZ589881 DDV589879:DDV589881 DNR589879:DNR589881 DXN589879:DXN589881 EHJ589879:EHJ589881 ERF589879:ERF589881 FBB589879:FBB589881 FKX589879:FKX589881 FUT589879:FUT589881 GEP589879:GEP589881 GOL589879:GOL589881 GYH589879:GYH589881 HID589879:HID589881 HRZ589879:HRZ589881 IBV589879:IBV589881 ILR589879:ILR589881 IVN589879:IVN589881 JFJ589879:JFJ589881 JPF589879:JPF589881 JZB589879:JZB589881 KIX589879:KIX589881 KST589879:KST589881 LCP589879:LCP589881 LML589879:LML589881 LWH589879:LWH589881 MGD589879:MGD589881 MPZ589879:MPZ589881 MZV589879:MZV589881 NJR589879:NJR589881 NTN589879:NTN589881 ODJ589879:ODJ589881 ONF589879:ONF589881 OXB589879:OXB589881 PGX589879:PGX589881 PQT589879:PQT589881 QAP589879:QAP589881 QKL589879:QKL589881 QUH589879:QUH589881 RED589879:RED589881 RNZ589879:RNZ589881 RXV589879:RXV589881 SHR589879:SHR589881 SRN589879:SRN589881 TBJ589879:TBJ589881 TLF589879:TLF589881 TVB589879:TVB589881 UEX589879:UEX589881 UOT589879:UOT589881 UYP589879:UYP589881 VIL589879:VIL589881 VSH589879:VSH589881 WCD589879:WCD589881 WLZ589879:WLZ589881 WVV589879:WVV589881 N655415:N655417 JJ655415:JJ655417 TF655415:TF655417 ADB655415:ADB655417 AMX655415:AMX655417 AWT655415:AWT655417 BGP655415:BGP655417 BQL655415:BQL655417 CAH655415:CAH655417 CKD655415:CKD655417 CTZ655415:CTZ655417 DDV655415:DDV655417 DNR655415:DNR655417 DXN655415:DXN655417 EHJ655415:EHJ655417 ERF655415:ERF655417 FBB655415:FBB655417 FKX655415:FKX655417 FUT655415:FUT655417 GEP655415:GEP655417 GOL655415:GOL655417 GYH655415:GYH655417 HID655415:HID655417 HRZ655415:HRZ655417 IBV655415:IBV655417 ILR655415:ILR655417 IVN655415:IVN655417 JFJ655415:JFJ655417 JPF655415:JPF655417 JZB655415:JZB655417 KIX655415:KIX655417 KST655415:KST655417 LCP655415:LCP655417 LML655415:LML655417 LWH655415:LWH655417 MGD655415:MGD655417 MPZ655415:MPZ655417 MZV655415:MZV655417 NJR655415:NJR655417 NTN655415:NTN655417 ODJ655415:ODJ655417 ONF655415:ONF655417 OXB655415:OXB655417 PGX655415:PGX655417 PQT655415:PQT655417 QAP655415:QAP655417 QKL655415:QKL655417 QUH655415:QUH655417 RED655415:RED655417 RNZ655415:RNZ655417 RXV655415:RXV655417 SHR655415:SHR655417 SRN655415:SRN655417 TBJ655415:TBJ655417 TLF655415:TLF655417 TVB655415:TVB655417 UEX655415:UEX655417 UOT655415:UOT655417 UYP655415:UYP655417 VIL655415:VIL655417 VSH655415:VSH655417 WCD655415:WCD655417 WLZ655415:WLZ655417 WVV655415:WVV655417 N720951:N720953 JJ720951:JJ720953 TF720951:TF720953 ADB720951:ADB720953 AMX720951:AMX720953 AWT720951:AWT720953 BGP720951:BGP720953 BQL720951:BQL720953 CAH720951:CAH720953 CKD720951:CKD720953 CTZ720951:CTZ720953 DDV720951:DDV720953 DNR720951:DNR720953 DXN720951:DXN720953 EHJ720951:EHJ720953 ERF720951:ERF720953 FBB720951:FBB720953 FKX720951:FKX720953 FUT720951:FUT720953 GEP720951:GEP720953 GOL720951:GOL720953 GYH720951:GYH720953 HID720951:HID720953 HRZ720951:HRZ720953 IBV720951:IBV720953 ILR720951:ILR720953 IVN720951:IVN720953 JFJ720951:JFJ720953 JPF720951:JPF720953 JZB720951:JZB720953 KIX720951:KIX720953 KST720951:KST720953 LCP720951:LCP720953 LML720951:LML720953 LWH720951:LWH720953 MGD720951:MGD720953 MPZ720951:MPZ720953 MZV720951:MZV720953 NJR720951:NJR720953 NTN720951:NTN720953 ODJ720951:ODJ720953 ONF720951:ONF720953 OXB720951:OXB720953 PGX720951:PGX720953 PQT720951:PQT720953 QAP720951:QAP720953 QKL720951:QKL720953 QUH720951:QUH720953 RED720951:RED720953 RNZ720951:RNZ720953 RXV720951:RXV720953 SHR720951:SHR720953 SRN720951:SRN720953 TBJ720951:TBJ720953 TLF720951:TLF720953 TVB720951:TVB720953 UEX720951:UEX720953 UOT720951:UOT720953 UYP720951:UYP720953 VIL720951:VIL720953 VSH720951:VSH720953 WCD720951:WCD720953 WLZ720951:WLZ720953 WVV720951:WVV720953 N786487:N786489 JJ786487:JJ786489 TF786487:TF786489 ADB786487:ADB786489 AMX786487:AMX786489 AWT786487:AWT786489 BGP786487:BGP786489 BQL786487:BQL786489 CAH786487:CAH786489 CKD786487:CKD786489 CTZ786487:CTZ786489 DDV786487:DDV786489 DNR786487:DNR786489 DXN786487:DXN786489 EHJ786487:EHJ786489 ERF786487:ERF786489 FBB786487:FBB786489 FKX786487:FKX786489 FUT786487:FUT786489 GEP786487:GEP786489 GOL786487:GOL786489 GYH786487:GYH786489 HID786487:HID786489 HRZ786487:HRZ786489 IBV786487:IBV786489 ILR786487:ILR786489 IVN786487:IVN786489 JFJ786487:JFJ786489 JPF786487:JPF786489 JZB786487:JZB786489 KIX786487:KIX786489 KST786487:KST786489 LCP786487:LCP786489 LML786487:LML786489 LWH786487:LWH786489 MGD786487:MGD786489 MPZ786487:MPZ786489 MZV786487:MZV786489 NJR786487:NJR786489 NTN786487:NTN786489 ODJ786487:ODJ786489 ONF786487:ONF786489 OXB786487:OXB786489 PGX786487:PGX786489 PQT786487:PQT786489 QAP786487:QAP786489 QKL786487:QKL786489 QUH786487:QUH786489 RED786487:RED786489 RNZ786487:RNZ786489 RXV786487:RXV786489 SHR786487:SHR786489 SRN786487:SRN786489 TBJ786487:TBJ786489 TLF786487:TLF786489 TVB786487:TVB786489 UEX786487:UEX786489 UOT786487:UOT786489 UYP786487:UYP786489 VIL786487:VIL786489 VSH786487:VSH786489 WCD786487:WCD786489 WLZ786487:WLZ786489 WVV786487:WVV786489 N852023:N852025 JJ852023:JJ852025 TF852023:TF852025 ADB852023:ADB852025 AMX852023:AMX852025 AWT852023:AWT852025 BGP852023:BGP852025 BQL852023:BQL852025 CAH852023:CAH852025 CKD852023:CKD852025 CTZ852023:CTZ852025 DDV852023:DDV852025 DNR852023:DNR852025 DXN852023:DXN852025 EHJ852023:EHJ852025 ERF852023:ERF852025 FBB852023:FBB852025 FKX852023:FKX852025 FUT852023:FUT852025 GEP852023:GEP852025 GOL852023:GOL852025 GYH852023:GYH852025 HID852023:HID852025 HRZ852023:HRZ852025 IBV852023:IBV852025 ILR852023:ILR852025 IVN852023:IVN852025 JFJ852023:JFJ852025 JPF852023:JPF852025 JZB852023:JZB852025 KIX852023:KIX852025 KST852023:KST852025 LCP852023:LCP852025 LML852023:LML852025 LWH852023:LWH852025 MGD852023:MGD852025 MPZ852023:MPZ852025 MZV852023:MZV852025 NJR852023:NJR852025 NTN852023:NTN852025 ODJ852023:ODJ852025 ONF852023:ONF852025 OXB852023:OXB852025 PGX852023:PGX852025 PQT852023:PQT852025 QAP852023:QAP852025 QKL852023:QKL852025 QUH852023:QUH852025 RED852023:RED852025 RNZ852023:RNZ852025 RXV852023:RXV852025 SHR852023:SHR852025 SRN852023:SRN852025 TBJ852023:TBJ852025 TLF852023:TLF852025 TVB852023:TVB852025 UEX852023:UEX852025 UOT852023:UOT852025 UYP852023:UYP852025 VIL852023:VIL852025 VSH852023:VSH852025 WCD852023:WCD852025 WLZ852023:WLZ852025 WVV852023:WVV852025 N917559:N917561 JJ917559:JJ917561 TF917559:TF917561 ADB917559:ADB917561 AMX917559:AMX917561 AWT917559:AWT917561 BGP917559:BGP917561 BQL917559:BQL917561 CAH917559:CAH917561 CKD917559:CKD917561 CTZ917559:CTZ917561 DDV917559:DDV917561 DNR917559:DNR917561 DXN917559:DXN917561 EHJ917559:EHJ917561 ERF917559:ERF917561 FBB917559:FBB917561 FKX917559:FKX917561 FUT917559:FUT917561 GEP917559:GEP917561 GOL917559:GOL917561 GYH917559:GYH917561 HID917559:HID917561 HRZ917559:HRZ917561 IBV917559:IBV917561 ILR917559:ILR917561 IVN917559:IVN917561 JFJ917559:JFJ917561 JPF917559:JPF917561 JZB917559:JZB917561 KIX917559:KIX917561 KST917559:KST917561 LCP917559:LCP917561 LML917559:LML917561 LWH917559:LWH917561 MGD917559:MGD917561 MPZ917559:MPZ917561 MZV917559:MZV917561 NJR917559:NJR917561 NTN917559:NTN917561 ODJ917559:ODJ917561 ONF917559:ONF917561 OXB917559:OXB917561 PGX917559:PGX917561 PQT917559:PQT917561 QAP917559:QAP917561 QKL917559:QKL917561 QUH917559:QUH917561 RED917559:RED917561 RNZ917559:RNZ917561 RXV917559:RXV917561 SHR917559:SHR917561 SRN917559:SRN917561 TBJ917559:TBJ917561 TLF917559:TLF917561 TVB917559:TVB917561 UEX917559:UEX917561 UOT917559:UOT917561 UYP917559:UYP917561 VIL917559:VIL917561 VSH917559:VSH917561 WCD917559:WCD917561 WLZ917559:WLZ917561 WVV917559:WVV917561 N983095:N983097 JJ983095:JJ983097 TF983095:TF983097 ADB983095:ADB983097 AMX983095:AMX983097 AWT983095:AWT983097 BGP983095:BGP983097 BQL983095:BQL983097 CAH983095:CAH983097 CKD983095:CKD983097 CTZ983095:CTZ983097 DDV983095:DDV983097 DNR983095:DNR983097 DXN983095:DXN983097 EHJ983095:EHJ983097 ERF983095:ERF983097 FBB983095:FBB983097 FKX983095:FKX983097 FUT983095:FUT983097 GEP983095:GEP983097 GOL983095:GOL983097 GYH983095:GYH983097 HID983095:HID983097 HRZ983095:HRZ983097 IBV983095:IBV983097 ILR983095:ILR983097 IVN983095:IVN983097 JFJ983095:JFJ983097 JPF983095:JPF983097 JZB983095:JZB983097 KIX983095:KIX983097 KST983095:KST983097 LCP983095:LCP983097 LML983095:LML983097 LWH983095:LWH983097 MGD983095:MGD983097 MPZ983095:MPZ983097 MZV983095:MZV983097 NJR983095:NJR983097 NTN983095:NTN983097 ODJ983095:ODJ983097 ONF983095:ONF983097 OXB983095:OXB983097 PGX983095:PGX983097 PQT983095:PQT983097 QAP983095:QAP983097 QKL983095:QKL983097 QUH983095:QUH983097 RED983095:RED983097 RNZ983095:RNZ983097 RXV983095:RXV983097 SHR983095:SHR983097 SRN983095:SRN983097 TBJ983095:TBJ983097 TLF983095:TLF983097 TVB983095:TVB983097 UEX983095:UEX983097 UOT983095:UOT983097 UYP983095:UYP983097 VIL983095:VIL983097 VSH983095:VSH983097 WCD983095:WCD983097 WLZ983095:WLZ983097 WVV983095:WVV983097 UEX983111:UEX983113 JD75:JD78 SZ75:SZ78 ACV75:ACV78 AMR75:AMR78 AWN75:AWN78 BGJ75:BGJ78 BQF75:BQF78 CAB75:CAB78 CJX75:CJX78 CTT75:CTT78 DDP75:DDP78 DNL75:DNL78 DXH75:DXH78 EHD75:EHD78 EQZ75:EQZ78 FAV75:FAV78 FKR75:FKR78 FUN75:FUN78 GEJ75:GEJ78 GOF75:GOF78 GYB75:GYB78 HHX75:HHX78 HRT75:HRT78 IBP75:IBP78 ILL75:ILL78 IVH75:IVH78 JFD75:JFD78 JOZ75:JOZ78 JYV75:JYV78 KIR75:KIR78 KSN75:KSN78 LCJ75:LCJ78 LMF75:LMF78 LWB75:LWB78 MFX75:MFX78 MPT75:MPT78 MZP75:MZP78 NJL75:NJL78 NTH75:NTH78 ODD75:ODD78 OMZ75:OMZ78 OWV75:OWV78 PGR75:PGR78 PQN75:PQN78 QAJ75:QAJ78 QKF75:QKF78 QUB75:QUB78 RDX75:RDX78 RNT75:RNT78 RXP75:RXP78 SHL75:SHL78 SRH75:SRH78 TBD75:TBD78 TKZ75:TKZ78 TUV75:TUV78 UER75:UER78 UON75:UON78 UYJ75:UYJ78 VIF75:VIF78 VSB75:VSB78 WBX75:WBX78 WLT75:WLT78 WVP75:WVP78 H65613:H65616 JD65613:JD65616 SZ65613:SZ65616 ACV65613:ACV65616 AMR65613:AMR65616 AWN65613:AWN65616 BGJ65613:BGJ65616 BQF65613:BQF65616 CAB65613:CAB65616 CJX65613:CJX65616 CTT65613:CTT65616 DDP65613:DDP65616 DNL65613:DNL65616 DXH65613:DXH65616 EHD65613:EHD65616 EQZ65613:EQZ65616 FAV65613:FAV65616 FKR65613:FKR65616 FUN65613:FUN65616 GEJ65613:GEJ65616 GOF65613:GOF65616 GYB65613:GYB65616 HHX65613:HHX65616 HRT65613:HRT65616 IBP65613:IBP65616 ILL65613:ILL65616 IVH65613:IVH65616 JFD65613:JFD65616 JOZ65613:JOZ65616 JYV65613:JYV65616 KIR65613:KIR65616 KSN65613:KSN65616 LCJ65613:LCJ65616 LMF65613:LMF65616 LWB65613:LWB65616 MFX65613:MFX65616 MPT65613:MPT65616 MZP65613:MZP65616 NJL65613:NJL65616 NTH65613:NTH65616 ODD65613:ODD65616 OMZ65613:OMZ65616 OWV65613:OWV65616 PGR65613:PGR65616 PQN65613:PQN65616 QAJ65613:QAJ65616 QKF65613:QKF65616 QUB65613:QUB65616 RDX65613:RDX65616 RNT65613:RNT65616 RXP65613:RXP65616 SHL65613:SHL65616 SRH65613:SRH65616 TBD65613:TBD65616 TKZ65613:TKZ65616 TUV65613:TUV65616 UER65613:UER65616 UON65613:UON65616 UYJ65613:UYJ65616 VIF65613:VIF65616 VSB65613:VSB65616 WBX65613:WBX65616 WLT65613:WLT65616 WVP65613:WVP65616 H131149:H131152 JD131149:JD131152 SZ131149:SZ131152 ACV131149:ACV131152 AMR131149:AMR131152 AWN131149:AWN131152 BGJ131149:BGJ131152 BQF131149:BQF131152 CAB131149:CAB131152 CJX131149:CJX131152 CTT131149:CTT131152 DDP131149:DDP131152 DNL131149:DNL131152 DXH131149:DXH131152 EHD131149:EHD131152 EQZ131149:EQZ131152 FAV131149:FAV131152 FKR131149:FKR131152 FUN131149:FUN131152 GEJ131149:GEJ131152 GOF131149:GOF131152 GYB131149:GYB131152 HHX131149:HHX131152 HRT131149:HRT131152 IBP131149:IBP131152 ILL131149:ILL131152 IVH131149:IVH131152 JFD131149:JFD131152 JOZ131149:JOZ131152 JYV131149:JYV131152 KIR131149:KIR131152 KSN131149:KSN131152 LCJ131149:LCJ131152 LMF131149:LMF131152 LWB131149:LWB131152 MFX131149:MFX131152 MPT131149:MPT131152 MZP131149:MZP131152 NJL131149:NJL131152 NTH131149:NTH131152 ODD131149:ODD131152 OMZ131149:OMZ131152 OWV131149:OWV131152 PGR131149:PGR131152 PQN131149:PQN131152 QAJ131149:QAJ131152 QKF131149:QKF131152 QUB131149:QUB131152 RDX131149:RDX131152 RNT131149:RNT131152 RXP131149:RXP131152 SHL131149:SHL131152 SRH131149:SRH131152 TBD131149:TBD131152 TKZ131149:TKZ131152 TUV131149:TUV131152 UER131149:UER131152 UON131149:UON131152 UYJ131149:UYJ131152 VIF131149:VIF131152 VSB131149:VSB131152 WBX131149:WBX131152 WLT131149:WLT131152 WVP131149:WVP131152 H196685:H196688 JD196685:JD196688 SZ196685:SZ196688 ACV196685:ACV196688 AMR196685:AMR196688 AWN196685:AWN196688 BGJ196685:BGJ196688 BQF196685:BQF196688 CAB196685:CAB196688 CJX196685:CJX196688 CTT196685:CTT196688 DDP196685:DDP196688 DNL196685:DNL196688 DXH196685:DXH196688 EHD196685:EHD196688 EQZ196685:EQZ196688 FAV196685:FAV196688 FKR196685:FKR196688 FUN196685:FUN196688 GEJ196685:GEJ196688 GOF196685:GOF196688 GYB196685:GYB196688 HHX196685:HHX196688 HRT196685:HRT196688 IBP196685:IBP196688 ILL196685:ILL196688 IVH196685:IVH196688 JFD196685:JFD196688 JOZ196685:JOZ196688 JYV196685:JYV196688 KIR196685:KIR196688 KSN196685:KSN196688 LCJ196685:LCJ196688 LMF196685:LMF196688 LWB196685:LWB196688 MFX196685:MFX196688 MPT196685:MPT196688 MZP196685:MZP196688 NJL196685:NJL196688 NTH196685:NTH196688 ODD196685:ODD196688 OMZ196685:OMZ196688 OWV196685:OWV196688 PGR196685:PGR196688 PQN196685:PQN196688 QAJ196685:QAJ196688 QKF196685:QKF196688 QUB196685:QUB196688 RDX196685:RDX196688 RNT196685:RNT196688 RXP196685:RXP196688 SHL196685:SHL196688 SRH196685:SRH196688 TBD196685:TBD196688 TKZ196685:TKZ196688 TUV196685:TUV196688 UER196685:UER196688 UON196685:UON196688 UYJ196685:UYJ196688 VIF196685:VIF196688 VSB196685:VSB196688 WBX196685:WBX196688 WLT196685:WLT196688 WVP196685:WVP196688 H262221:H262224 JD262221:JD262224 SZ262221:SZ262224 ACV262221:ACV262224 AMR262221:AMR262224 AWN262221:AWN262224 BGJ262221:BGJ262224 BQF262221:BQF262224 CAB262221:CAB262224 CJX262221:CJX262224 CTT262221:CTT262224 DDP262221:DDP262224 DNL262221:DNL262224 DXH262221:DXH262224 EHD262221:EHD262224 EQZ262221:EQZ262224 FAV262221:FAV262224 FKR262221:FKR262224 FUN262221:FUN262224 GEJ262221:GEJ262224 GOF262221:GOF262224 GYB262221:GYB262224 HHX262221:HHX262224 HRT262221:HRT262224 IBP262221:IBP262224 ILL262221:ILL262224 IVH262221:IVH262224 JFD262221:JFD262224 JOZ262221:JOZ262224 JYV262221:JYV262224 KIR262221:KIR262224 KSN262221:KSN262224 LCJ262221:LCJ262224 LMF262221:LMF262224 LWB262221:LWB262224 MFX262221:MFX262224 MPT262221:MPT262224 MZP262221:MZP262224 NJL262221:NJL262224 NTH262221:NTH262224 ODD262221:ODD262224 OMZ262221:OMZ262224 OWV262221:OWV262224 PGR262221:PGR262224 PQN262221:PQN262224 QAJ262221:QAJ262224 QKF262221:QKF262224 QUB262221:QUB262224 RDX262221:RDX262224 RNT262221:RNT262224 RXP262221:RXP262224 SHL262221:SHL262224 SRH262221:SRH262224 TBD262221:TBD262224 TKZ262221:TKZ262224 TUV262221:TUV262224 UER262221:UER262224 UON262221:UON262224 UYJ262221:UYJ262224 VIF262221:VIF262224 VSB262221:VSB262224 WBX262221:WBX262224 WLT262221:WLT262224 WVP262221:WVP262224 H327757:H327760 JD327757:JD327760 SZ327757:SZ327760 ACV327757:ACV327760 AMR327757:AMR327760 AWN327757:AWN327760 BGJ327757:BGJ327760 BQF327757:BQF327760 CAB327757:CAB327760 CJX327757:CJX327760 CTT327757:CTT327760 DDP327757:DDP327760 DNL327757:DNL327760 DXH327757:DXH327760 EHD327757:EHD327760 EQZ327757:EQZ327760 FAV327757:FAV327760 FKR327757:FKR327760 FUN327757:FUN327760 GEJ327757:GEJ327760 GOF327757:GOF327760 GYB327757:GYB327760 HHX327757:HHX327760 HRT327757:HRT327760 IBP327757:IBP327760 ILL327757:ILL327760 IVH327757:IVH327760 JFD327757:JFD327760 JOZ327757:JOZ327760 JYV327757:JYV327760 KIR327757:KIR327760 KSN327757:KSN327760 LCJ327757:LCJ327760 LMF327757:LMF327760 LWB327757:LWB327760 MFX327757:MFX327760 MPT327757:MPT327760 MZP327757:MZP327760 NJL327757:NJL327760 NTH327757:NTH327760 ODD327757:ODD327760 OMZ327757:OMZ327760 OWV327757:OWV327760 PGR327757:PGR327760 PQN327757:PQN327760 QAJ327757:QAJ327760 QKF327757:QKF327760 QUB327757:QUB327760 RDX327757:RDX327760 RNT327757:RNT327760 RXP327757:RXP327760 SHL327757:SHL327760 SRH327757:SRH327760 TBD327757:TBD327760 TKZ327757:TKZ327760 TUV327757:TUV327760 UER327757:UER327760 UON327757:UON327760 UYJ327757:UYJ327760 VIF327757:VIF327760 VSB327757:VSB327760 WBX327757:WBX327760 WLT327757:WLT327760 WVP327757:WVP327760 H393293:H393296 JD393293:JD393296 SZ393293:SZ393296 ACV393293:ACV393296 AMR393293:AMR393296 AWN393293:AWN393296 BGJ393293:BGJ393296 BQF393293:BQF393296 CAB393293:CAB393296 CJX393293:CJX393296 CTT393293:CTT393296 DDP393293:DDP393296 DNL393293:DNL393296 DXH393293:DXH393296 EHD393293:EHD393296 EQZ393293:EQZ393296 FAV393293:FAV393296 FKR393293:FKR393296 FUN393293:FUN393296 GEJ393293:GEJ393296 GOF393293:GOF393296 GYB393293:GYB393296 HHX393293:HHX393296 HRT393293:HRT393296 IBP393293:IBP393296 ILL393293:ILL393296 IVH393293:IVH393296 JFD393293:JFD393296 JOZ393293:JOZ393296 JYV393293:JYV393296 KIR393293:KIR393296 KSN393293:KSN393296 LCJ393293:LCJ393296 LMF393293:LMF393296 LWB393293:LWB393296 MFX393293:MFX393296 MPT393293:MPT393296 MZP393293:MZP393296 NJL393293:NJL393296 NTH393293:NTH393296 ODD393293:ODD393296 OMZ393293:OMZ393296 OWV393293:OWV393296 PGR393293:PGR393296 PQN393293:PQN393296 QAJ393293:QAJ393296 QKF393293:QKF393296 QUB393293:QUB393296 RDX393293:RDX393296 RNT393293:RNT393296 RXP393293:RXP393296 SHL393293:SHL393296 SRH393293:SRH393296 TBD393293:TBD393296 TKZ393293:TKZ393296 TUV393293:TUV393296 UER393293:UER393296 UON393293:UON393296 UYJ393293:UYJ393296 VIF393293:VIF393296 VSB393293:VSB393296 WBX393293:WBX393296 WLT393293:WLT393296 WVP393293:WVP393296 H458829:H458832 JD458829:JD458832 SZ458829:SZ458832 ACV458829:ACV458832 AMR458829:AMR458832 AWN458829:AWN458832 BGJ458829:BGJ458832 BQF458829:BQF458832 CAB458829:CAB458832 CJX458829:CJX458832 CTT458829:CTT458832 DDP458829:DDP458832 DNL458829:DNL458832 DXH458829:DXH458832 EHD458829:EHD458832 EQZ458829:EQZ458832 FAV458829:FAV458832 FKR458829:FKR458832 FUN458829:FUN458832 GEJ458829:GEJ458832 GOF458829:GOF458832 GYB458829:GYB458832 HHX458829:HHX458832 HRT458829:HRT458832 IBP458829:IBP458832 ILL458829:ILL458832 IVH458829:IVH458832 JFD458829:JFD458832 JOZ458829:JOZ458832 JYV458829:JYV458832 KIR458829:KIR458832 KSN458829:KSN458832 LCJ458829:LCJ458832 LMF458829:LMF458832 LWB458829:LWB458832 MFX458829:MFX458832 MPT458829:MPT458832 MZP458829:MZP458832 NJL458829:NJL458832 NTH458829:NTH458832 ODD458829:ODD458832 OMZ458829:OMZ458832 OWV458829:OWV458832 PGR458829:PGR458832 PQN458829:PQN458832 QAJ458829:QAJ458832 QKF458829:QKF458832 QUB458829:QUB458832 RDX458829:RDX458832 RNT458829:RNT458832 RXP458829:RXP458832 SHL458829:SHL458832 SRH458829:SRH458832 TBD458829:TBD458832 TKZ458829:TKZ458832 TUV458829:TUV458832 UER458829:UER458832 UON458829:UON458832 UYJ458829:UYJ458832 VIF458829:VIF458832 VSB458829:VSB458832 WBX458829:WBX458832 WLT458829:WLT458832 WVP458829:WVP458832 H524365:H524368 JD524365:JD524368 SZ524365:SZ524368 ACV524365:ACV524368 AMR524365:AMR524368 AWN524365:AWN524368 BGJ524365:BGJ524368 BQF524365:BQF524368 CAB524365:CAB524368 CJX524365:CJX524368 CTT524365:CTT524368 DDP524365:DDP524368 DNL524365:DNL524368 DXH524365:DXH524368 EHD524365:EHD524368 EQZ524365:EQZ524368 FAV524365:FAV524368 FKR524365:FKR524368 FUN524365:FUN524368 GEJ524365:GEJ524368 GOF524365:GOF524368 GYB524365:GYB524368 HHX524365:HHX524368 HRT524365:HRT524368 IBP524365:IBP524368 ILL524365:ILL524368 IVH524365:IVH524368 JFD524365:JFD524368 JOZ524365:JOZ524368 JYV524365:JYV524368 KIR524365:KIR524368 KSN524365:KSN524368 LCJ524365:LCJ524368 LMF524365:LMF524368 LWB524365:LWB524368 MFX524365:MFX524368 MPT524365:MPT524368 MZP524365:MZP524368 NJL524365:NJL524368 NTH524365:NTH524368 ODD524365:ODD524368 OMZ524365:OMZ524368 OWV524365:OWV524368 PGR524365:PGR524368 PQN524365:PQN524368 QAJ524365:QAJ524368 QKF524365:QKF524368 QUB524365:QUB524368 RDX524365:RDX524368 RNT524365:RNT524368 RXP524365:RXP524368 SHL524365:SHL524368 SRH524365:SRH524368 TBD524365:TBD524368 TKZ524365:TKZ524368 TUV524365:TUV524368 UER524365:UER524368 UON524365:UON524368 UYJ524365:UYJ524368 VIF524365:VIF524368 VSB524365:VSB524368 WBX524365:WBX524368 WLT524365:WLT524368 WVP524365:WVP524368 H589901:H589904 JD589901:JD589904 SZ589901:SZ589904 ACV589901:ACV589904 AMR589901:AMR589904 AWN589901:AWN589904 BGJ589901:BGJ589904 BQF589901:BQF589904 CAB589901:CAB589904 CJX589901:CJX589904 CTT589901:CTT589904 DDP589901:DDP589904 DNL589901:DNL589904 DXH589901:DXH589904 EHD589901:EHD589904 EQZ589901:EQZ589904 FAV589901:FAV589904 FKR589901:FKR589904 FUN589901:FUN589904 GEJ589901:GEJ589904 GOF589901:GOF589904 GYB589901:GYB589904 HHX589901:HHX589904 HRT589901:HRT589904 IBP589901:IBP589904 ILL589901:ILL589904 IVH589901:IVH589904 JFD589901:JFD589904 JOZ589901:JOZ589904 JYV589901:JYV589904 KIR589901:KIR589904 KSN589901:KSN589904 LCJ589901:LCJ589904 LMF589901:LMF589904 LWB589901:LWB589904 MFX589901:MFX589904 MPT589901:MPT589904 MZP589901:MZP589904 NJL589901:NJL589904 NTH589901:NTH589904 ODD589901:ODD589904 OMZ589901:OMZ589904 OWV589901:OWV589904 PGR589901:PGR589904 PQN589901:PQN589904 QAJ589901:QAJ589904 QKF589901:QKF589904 QUB589901:QUB589904 RDX589901:RDX589904 RNT589901:RNT589904 RXP589901:RXP589904 SHL589901:SHL589904 SRH589901:SRH589904 TBD589901:TBD589904 TKZ589901:TKZ589904 TUV589901:TUV589904 UER589901:UER589904 UON589901:UON589904 UYJ589901:UYJ589904 VIF589901:VIF589904 VSB589901:VSB589904 WBX589901:WBX589904 WLT589901:WLT589904 WVP589901:WVP589904 H655437:H655440 JD655437:JD655440 SZ655437:SZ655440 ACV655437:ACV655440 AMR655437:AMR655440 AWN655437:AWN655440 BGJ655437:BGJ655440 BQF655437:BQF655440 CAB655437:CAB655440 CJX655437:CJX655440 CTT655437:CTT655440 DDP655437:DDP655440 DNL655437:DNL655440 DXH655437:DXH655440 EHD655437:EHD655440 EQZ655437:EQZ655440 FAV655437:FAV655440 FKR655437:FKR655440 FUN655437:FUN655440 GEJ655437:GEJ655440 GOF655437:GOF655440 GYB655437:GYB655440 HHX655437:HHX655440 HRT655437:HRT655440 IBP655437:IBP655440 ILL655437:ILL655440 IVH655437:IVH655440 JFD655437:JFD655440 JOZ655437:JOZ655440 JYV655437:JYV655440 KIR655437:KIR655440 KSN655437:KSN655440 LCJ655437:LCJ655440 LMF655437:LMF655440 LWB655437:LWB655440 MFX655437:MFX655440 MPT655437:MPT655440 MZP655437:MZP655440 NJL655437:NJL655440 NTH655437:NTH655440 ODD655437:ODD655440 OMZ655437:OMZ655440 OWV655437:OWV655440 PGR655437:PGR655440 PQN655437:PQN655440 QAJ655437:QAJ655440 QKF655437:QKF655440 QUB655437:QUB655440 RDX655437:RDX655440 RNT655437:RNT655440 RXP655437:RXP655440 SHL655437:SHL655440 SRH655437:SRH655440 TBD655437:TBD655440 TKZ655437:TKZ655440 TUV655437:TUV655440 UER655437:UER655440 UON655437:UON655440 UYJ655437:UYJ655440 VIF655437:VIF655440 VSB655437:VSB655440 WBX655437:WBX655440 WLT655437:WLT655440 WVP655437:WVP655440 H720973:H720976 JD720973:JD720976 SZ720973:SZ720976 ACV720973:ACV720976 AMR720973:AMR720976 AWN720973:AWN720976 BGJ720973:BGJ720976 BQF720973:BQF720976 CAB720973:CAB720976 CJX720973:CJX720976 CTT720973:CTT720976 DDP720973:DDP720976 DNL720973:DNL720976 DXH720973:DXH720976 EHD720973:EHD720976 EQZ720973:EQZ720976 FAV720973:FAV720976 FKR720973:FKR720976 FUN720973:FUN720976 GEJ720973:GEJ720976 GOF720973:GOF720976 GYB720973:GYB720976 HHX720973:HHX720976 HRT720973:HRT720976 IBP720973:IBP720976 ILL720973:ILL720976 IVH720973:IVH720976 JFD720973:JFD720976 JOZ720973:JOZ720976 JYV720973:JYV720976 KIR720973:KIR720976 KSN720973:KSN720976 LCJ720973:LCJ720976 LMF720973:LMF720976 LWB720973:LWB720976 MFX720973:MFX720976 MPT720973:MPT720976 MZP720973:MZP720976 NJL720973:NJL720976 NTH720973:NTH720976 ODD720973:ODD720976 OMZ720973:OMZ720976 OWV720973:OWV720976 PGR720973:PGR720976 PQN720973:PQN720976 QAJ720973:QAJ720976 QKF720973:QKF720976 QUB720973:QUB720976 RDX720973:RDX720976 RNT720973:RNT720976 RXP720973:RXP720976 SHL720973:SHL720976 SRH720973:SRH720976 TBD720973:TBD720976 TKZ720973:TKZ720976 TUV720973:TUV720976 UER720973:UER720976 UON720973:UON720976 UYJ720973:UYJ720976 VIF720973:VIF720976 VSB720973:VSB720976 WBX720973:WBX720976 WLT720973:WLT720976 WVP720973:WVP720976 H786509:H786512 JD786509:JD786512 SZ786509:SZ786512 ACV786509:ACV786512 AMR786509:AMR786512 AWN786509:AWN786512 BGJ786509:BGJ786512 BQF786509:BQF786512 CAB786509:CAB786512 CJX786509:CJX786512 CTT786509:CTT786512 DDP786509:DDP786512 DNL786509:DNL786512 DXH786509:DXH786512 EHD786509:EHD786512 EQZ786509:EQZ786512 FAV786509:FAV786512 FKR786509:FKR786512 FUN786509:FUN786512 GEJ786509:GEJ786512 GOF786509:GOF786512 GYB786509:GYB786512 HHX786509:HHX786512 HRT786509:HRT786512 IBP786509:IBP786512 ILL786509:ILL786512 IVH786509:IVH786512 JFD786509:JFD786512 JOZ786509:JOZ786512 JYV786509:JYV786512 KIR786509:KIR786512 KSN786509:KSN786512 LCJ786509:LCJ786512 LMF786509:LMF786512 LWB786509:LWB786512 MFX786509:MFX786512 MPT786509:MPT786512 MZP786509:MZP786512 NJL786509:NJL786512 NTH786509:NTH786512 ODD786509:ODD786512 OMZ786509:OMZ786512 OWV786509:OWV786512 PGR786509:PGR786512 PQN786509:PQN786512 QAJ786509:QAJ786512 QKF786509:QKF786512 QUB786509:QUB786512 RDX786509:RDX786512 RNT786509:RNT786512 RXP786509:RXP786512 SHL786509:SHL786512 SRH786509:SRH786512 TBD786509:TBD786512 TKZ786509:TKZ786512 TUV786509:TUV786512 UER786509:UER786512 UON786509:UON786512 UYJ786509:UYJ786512 VIF786509:VIF786512 VSB786509:VSB786512 WBX786509:WBX786512 WLT786509:WLT786512 WVP786509:WVP786512 H852045:H852048 JD852045:JD852048 SZ852045:SZ852048 ACV852045:ACV852048 AMR852045:AMR852048 AWN852045:AWN852048 BGJ852045:BGJ852048 BQF852045:BQF852048 CAB852045:CAB852048 CJX852045:CJX852048 CTT852045:CTT852048 DDP852045:DDP852048 DNL852045:DNL852048 DXH852045:DXH852048 EHD852045:EHD852048 EQZ852045:EQZ852048 FAV852045:FAV852048 FKR852045:FKR852048 FUN852045:FUN852048 GEJ852045:GEJ852048 GOF852045:GOF852048 GYB852045:GYB852048 HHX852045:HHX852048 HRT852045:HRT852048 IBP852045:IBP852048 ILL852045:ILL852048 IVH852045:IVH852048 JFD852045:JFD852048 JOZ852045:JOZ852048 JYV852045:JYV852048 KIR852045:KIR852048 KSN852045:KSN852048 LCJ852045:LCJ852048 LMF852045:LMF852048 LWB852045:LWB852048 MFX852045:MFX852048 MPT852045:MPT852048 MZP852045:MZP852048 NJL852045:NJL852048 NTH852045:NTH852048 ODD852045:ODD852048 OMZ852045:OMZ852048 OWV852045:OWV852048 PGR852045:PGR852048 PQN852045:PQN852048 QAJ852045:QAJ852048 QKF852045:QKF852048 QUB852045:QUB852048 RDX852045:RDX852048 RNT852045:RNT852048 RXP852045:RXP852048 SHL852045:SHL852048 SRH852045:SRH852048 TBD852045:TBD852048 TKZ852045:TKZ852048 TUV852045:TUV852048 UER852045:UER852048 UON852045:UON852048 UYJ852045:UYJ852048 VIF852045:VIF852048 VSB852045:VSB852048 WBX852045:WBX852048 WLT852045:WLT852048 WVP852045:WVP852048 H917581:H917584 JD917581:JD917584 SZ917581:SZ917584 ACV917581:ACV917584 AMR917581:AMR917584 AWN917581:AWN917584 BGJ917581:BGJ917584 BQF917581:BQF917584 CAB917581:CAB917584 CJX917581:CJX917584 CTT917581:CTT917584 DDP917581:DDP917584 DNL917581:DNL917584 DXH917581:DXH917584 EHD917581:EHD917584 EQZ917581:EQZ917584 FAV917581:FAV917584 FKR917581:FKR917584 FUN917581:FUN917584 GEJ917581:GEJ917584 GOF917581:GOF917584 GYB917581:GYB917584 HHX917581:HHX917584 HRT917581:HRT917584 IBP917581:IBP917584 ILL917581:ILL917584 IVH917581:IVH917584 JFD917581:JFD917584 JOZ917581:JOZ917584 JYV917581:JYV917584 KIR917581:KIR917584 KSN917581:KSN917584 LCJ917581:LCJ917584 LMF917581:LMF917584 LWB917581:LWB917584 MFX917581:MFX917584 MPT917581:MPT917584 MZP917581:MZP917584 NJL917581:NJL917584 NTH917581:NTH917584 ODD917581:ODD917584 OMZ917581:OMZ917584 OWV917581:OWV917584 PGR917581:PGR917584 PQN917581:PQN917584 QAJ917581:QAJ917584 QKF917581:QKF917584 QUB917581:QUB917584 RDX917581:RDX917584 RNT917581:RNT917584 RXP917581:RXP917584 SHL917581:SHL917584 SRH917581:SRH917584 TBD917581:TBD917584 TKZ917581:TKZ917584 TUV917581:TUV917584 UER917581:UER917584 UON917581:UON917584 UYJ917581:UYJ917584 VIF917581:VIF917584 VSB917581:VSB917584 WBX917581:WBX917584 WLT917581:WLT917584 WVP917581:WVP917584 H983117:H983120 JD983117:JD983120 SZ983117:SZ983120 ACV983117:ACV983120 AMR983117:AMR983120 AWN983117:AWN983120 BGJ983117:BGJ983120 BQF983117:BQF983120 CAB983117:CAB983120 CJX983117:CJX983120 CTT983117:CTT983120 DDP983117:DDP983120 DNL983117:DNL983120 DXH983117:DXH983120 EHD983117:EHD983120 EQZ983117:EQZ983120 FAV983117:FAV983120 FKR983117:FKR983120 FUN983117:FUN983120 GEJ983117:GEJ983120 GOF983117:GOF983120 GYB983117:GYB983120 HHX983117:HHX983120 HRT983117:HRT983120 IBP983117:IBP983120 ILL983117:ILL983120 IVH983117:IVH983120 JFD983117:JFD983120 JOZ983117:JOZ983120 JYV983117:JYV983120 KIR983117:KIR983120 KSN983117:KSN983120 LCJ983117:LCJ983120 LMF983117:LMF983120 LWB983117:LWB983120 MFX983117:MFX983120 MPT983117:MPT983120 MZP983117:MZP983120 NJL983117:NJL983120 NTH983117:NTH983120 ODD983117:ODD983120 OMZ983117:OMZ983120 OWV983117:OWV983120 PGR983117:PGR983120 PQN983117:PQN983120 QAJ983117:QAJ983120 QKF983117:QKF983120 QUB983117:QUB983120 RDX983117:RDX983120 RNT983117:RNT983120 RXP983117:RXP983120 SHL983117:SHL983120 SRH983117:SRH983120 TBD983117:TBD983120 TKZ983117:TKZ983120 TUV983117:TUV983120 UER983117:UER983120 UON983117:UON983120 UYJ983117:UYJ983120 VIF983117:VIF983120 VSB983117:VSB983120 WBX983117:WBX983120 WLT983117:WLT983120 WVP983117:WVP983120 TVB983111:TVB983113 JJ75:JJ77 TF75:TF77 ADB75:ADB77 AMX75:AMX77 AWT75:AWT77 BGP75:BGP77 BQL75:BQL77 CAH75:CAH77 CKD75:CKD77 CTZ75:CTZ77 DDV75:DDV77 DNR75:DNR77 DXN75:DXN77 EHJ75:EHJ77 ERF75:ERF77 FBB75:FBB77 FKX75:FKX77 FUT75:FUT77 GEP75:GEP77 GOL75:GOL77 GYH75:GYH77 HID75:HID77 HRZ75:HRZ77 IBV75:IBV77 ILR75:ILR77 IVN75:IVN77 JFJ75:JFJ77 JPF75:JPF77 JZB75:JZB77 KIX75:KIX77 KST75:KST77 LCP75:LCP77 LML75:LML77 LWH75:LWH77 MGD75:MGD77 MPZ75:MPZ77 MZV75:MZV77 NJR75:NJR77 NTN75:NTN77 ODJ75:ODJ77 ONF75:ONF77 OXB75:OXB77 PGX75:PGX77 PQT75:PQT77 QAP75:QAP77 QKL75:QKL77 QUH75:QUH77 RED75:RED77 RNZ75:RNZ77 RXV75:RXV77 SHR75:SHR77 SRN75:SRN77 TBJ75:TBJ77 TLF75:TLF77 TVB75:TVB77 UEX75:UEX77 UOT75:UOT77 UYP75:UYP77 VIL75:VIL77 VSH75:VSH77 WCD75:WCD77 WLZ75:WLZ77 WVV75:WVV77 N65613:N65615 JJ65613:JJ65615 TF65613:TF65615 ADB65613:ADB65615 AMX65613:AMX65615 AWT65613:AWT65615 BGP65613:BGP65615 BQL65613:BQL65615 CAH65613:CAH65615 CKD65613:CKD65615 CTZ65613:CTZ65615 DDV65613:DDV65615 DNR65613:DNR65615 DXN65613:DXN65615 EHJ65613:EHJ65615 ERF65613:ERF65615 FBB65613:FBB65615 FKX65613:FKX65615 FUT65613:FUT65615 GEP65613:GEP65615 GOL65613:GOL65615 GYH65613:GYH65615 HID65613:HID65615 HRZ65613:HRZ65615 IBV65613:IBV65615 ILR65613:ILR65615 IVN65613:IVN65615 JFJ65613:JFJ65615 JPF65613:JPF65615 JZB65613:JZB65615 KIX65613:KIX65615 KST65613:KST65615 LCP65613:LCP65615 LML65613:LML65615 LWH65613:LWH65615 MGD65613:MGD65615 MPZ65613:MPZ65615 MZV65613:MZV65615 NJR65613:NJR65615 NTN65613:NTN65615 ODJ65613:ODJ65615 ONF65613:ONF65615 OXB65613:OXB65615 PGX65613:PGX65615 PQT65613:PQT65615 QAP65613:QAP65615 QKL65613:QKL65615 QUH65613:QUH65615 RED65613:RED65615 RNZ65613:RNZ65615 RXV65613:RXV65615 SHR65613:SHR65615 SRN65613:SRN65615 TBJ65613:TBJ65615 TLF65613:TLF65615 TVB65613:TVB65615 UEX65613:UEX65615 UOT65613:UOT65615 UYP65613:UYP65615 VIL65613:VIL65615 VSH65613:VSH65615 WCD65613:WCD65615 WLZ65613:WLZ65615 WVV65613:WVV65615 N131149:N131151 JJ131149:JJ131151 TF131149:TF131151 ADB131149:ADB131151 AMX131149:AMX131151 AWT131149:AWT131151 BGP131149:BGP131151 BQL131149:BQL131151 CAH131149:CAH131151 CKD131149:CKD131151 CTZ131149:CTZ131151 DDV131149:DDV131151 DNR131149:DNR131151 DXN131149:DXN131151 EHJ131149:EHJ131151 ERF131149:ERF131151 FBB131149:FBB131151 FKX131149:FKX131151 FUT131149:FUT131151 GEP131149:GEP131151 GOL131149:GOL131151 GYH131149:GYH131151 HID131149:HID131151 HRZ131149:HRZ131151 IBV131149:IBV131151 ILR131149:ILR131151 IVN131149:IVN131151 JFJ131149:JFJ131151 JPF131149:JPF131151 JZB131149:JZB131151 KIX131149:KIX131151 KST131149:KST131151 LCP131149:LCP131151 LML131149:LML131151 LWH131149:LWH131151 MGD131149:MGD131151 MPZ131149:MPZ131151 MZV131149:MZV131151 NJR131149:NJR131151 NTN131149:NTN131151 ODJ131149:ODJ131151 ONF131149:ONF131151 OXB131149:OXB131151 PGX131149:PGX131151 PQT131149:PQT131151 QAP131149:QAP131151 QKL131149:QKL131151 QUH131149:QUH131151 RED131149:RED131151 RNZ131149:RNZ131151 RXV131149:RXV131151 SHR131149:SHR131151 SRN131149:SRN131151 TBJ131149:TBJ131151 TLF131149:TLF131151 TVB131149:TVB131151 UEX131149:UEX131151 UOT131149:UOT131151 UYP131149:UYP131151 VIL131149:VIL131151 VSH131149:VSH131151 WCD131149:WCD131151 WLZ131149:WLZ131151 WVV131149:WVV131151 N196685:N196687 JJ196685:JJ196687 TF196685:TF196687 ADB196685:ADB196687 AMX196685:AMX196687 AWT196685:AWT196687 BGP196685:BGP196687 BQL196685:BQL196687 CAH196685:CAH196687 CKD196685:CKD196687 CTZ196685:CTZ196687 DDV196685:DDV196687 DNR196685:DNR196687 DXN196685:DXN196687 EHJ196685:EHJ196687 ERF196685:ERF196687 FBB196685:FBB196687 FKX196685:FKX196687 FUT196685:FUT196687 GEP196685:GEP196687 GOL196685:GOL196687 GYH196685:GYH196687 HID196685:HID196687 HRZ196685:HRZ196687 IBV196685:IBV196687 ILR196685:ILR196687 IVN196685:IVN196687 JFJ196685:JFJ196687 JPF196685:JPF196687 JZB196685:JZB196687 KIX196685:KIX196687 KST196685:KST196687 LCP196685:LCP196687 LML196685:LML196687 LWH196685:LWH196687 MGD196685:MGD196687 MPZ196685:MPZ196687 MZV196685:MZV196687 NJR196685:NJR196687 NTN196685:NTN196687 ODJ196685:ODJ196687 ONF196685:ONF196687 OXB196685:OXB196687 PGX196685:PGX196687 PQT196685:PQT196687 QAP196685:QAP196687 QKL196685:QKL196687 QUH196685:QUH196687 RED196685:RED196687 RNZ196685:RNZ196687 RXV196685:RXV196687 SHR196685:SHR196687 SRN196685:SRN196687 TBJ196685:TBJ196687 TLF196685:TLF196687 TVB196685:TVB196687 UEX196685:UEX196687 UOT196685:UOT196687 UYP196685:UYP196687 VIL196685:VIL196687 VSH196685:VSH196687 WCD196685:WCD196687 WLZ196685:WLZ196687 WVV196685:WVV196687 N262221:N262223 JJ262221:JJ262223 TF262221:TF262223 ADB262221:ADB262223 AMX262221:AMX262223 AWT262221:AWT262223 BGP262221:BGP262223 BQL262221:BQL262223 CAH262221:CAH262223 CKD262221:CKD262223 CTZ262221:CTZ262223 DDV262221:DDV262223 DNR262221:DNR262223 DXN262221:DXN262223 EHJ262221:EHJ262223 ERF262221:ERF262223 FBB262221:FBB262223 FKX262221:FKX262223 FUT262221:FUT262223 GEP262221:GEP262223 GOL262221:GOL262223 GYH262221:GYH262223 HID262221:HID262223 HRZ262221:HRZ262223 IBV262221:IBV262223 ILR262221:ILR262223 IVN262221:IVN262223 JFJ262221:JFJ262223 JPF262221:JPF262223 JZB262221:JZB262223 KIX262221:KIX262223 KST262221:KST262223 LCP262221:LCP262223 LML262221:LML262223 LWH262221:LWH262223 MGD262221:MGD262223 MPZ262221:MPZ262223 MZV262221:MZV262223 NJR262221:NJR262223 NTN262221:NTN262223 ODJ262221:ODJ262223 ONF262221:ONF262223 OXB262221:OXB262223 PGX262221:PGX262223 PQT262221:PQT262223 QAP262221:QAP262223 QKL262221:QKL262223 QUH262221:QUH262223 RED262221:RED262223 RNZ262221:RNZ262223 RXV262221:RXV262223 SHR262221:SHR262223 SRN262221:SRN262223 TBJ262221:TBJ262223 TLF262221:TLF262223 TVB262221:TVB262223 UEX262221:UEX262223 UOT262221:UOT262223 UYP262221:UYP262223 VIL262221:VIL262223 VSH262221:VSH262223 WCD262221:WCD262223 WLZ262221:WLZ262223 WVV262221:WVV262223 N327757:N327759 JJ327757:JJ327759 TF327757:TF327759 ADB327757:ADB327759 AMX327757:AMX327759 AWT327757:AWT327759 BGP327757:BGP327759 BQL327757:BQL327759 CAH327757:CAH327759 CKD327757:CKD327759 CTZ327757:CTZ327759 DDV327757:DDV327759 DNR327757:DNR327759 DXN327757:DXN327759 EHJ327757:EHJ327759 ERF327757:ERF327759 FBB327757:FBB327759 FKX327757:FKX327759 FUT327757:FUT327759 GEP327757:GEP327759 GOL327757:GOL327759 GYH327757:GYH327759 HID327757:HID327759 HRZ327757:HRZ327759 IBV327757:IBV327759 ILR327757:ILR327759 IVN327757:IVN327759 JFJ327757:JFJ327759 JPF327757:JPF327759 JZB327757:JZB327759 KIX327757:KIX327759 KST327757:KST327759 LCP327757:LCP327759 LML327757:LML327759 LWH327757:LWH327759 MGD327757:MGD327759 MPZ327757:MPZ327759 MZV327757:MZV327759 NJR327757:NJR327759 NTN327757:NTN327759 ODJ327757:ODJ327759 ONF327757:ONF327759 OXB327757:OXB327759 PGX327757:PGX327759 PQT327757:PQT327759 QAP327757:QAP327759 QKL327757:QKL327759 QUH327757:QUH327759 RED327757:RED327759 RNZ327757:RNZ327759 RXV327757:RXV327759 SHR327757:SHR327759 SRN327757:SRN327759 TBJ327757:TBJ327759 TLF327757:TLF327759 TVB327757:TVB327759 UEX327757:UEX327759 UOT327757:UOT327759 UYP327757:UYP327759 VIL327757:VIL327759 VSH327757:VSH327759 WCD327757:WCD327759 WLZ327757:WLZ327759 WVV327757:WVV327759 N393293:N393295 JJ393293:JJ393295 TF393293:TF393295 ADB393293:ADB393295 AMX393293:AMX393295 AWT393293:AWT393295 BGP393293:BGP393295 BQL393293:BQL393295 CAH393293:CAH393295 CKD393293:CKD393295 CTZ393293:CTZ393295 DDV393293:DDV393295 DNR393293:DNR393295 DXN393293:DXN393295 EHJ393293:EHJ393295 ERF393293:ERF393295 FBB393293:FBB393295 FKX393293:FKX393295 FUT393293:FUT393295 GEP393293:GEP393295 GOL393293:GOL393295 GYH393293:GYH393295 HID393293:HID393295 HRZ393293:HRZ393295 IBV393293:IBV393295 ILR393293:ILR393295 IVN393293:IVN393295 JFJ393293:JFJ393295 JPF393293:JPF393295 JZB393293:JZB393295 KIX393293:KIX393295 KST393293:KST393295 LCP393293:LCP393295 LML393293:LML393295 LWH393293:LWH393295 MGD393293:MGD393295 MPZ393293:MPZ393295 MZV393293:MZV393295 NJR393293:NJR393295 NTN393293:NTN393295 ODJ393293:ODJ393295 ONF393293:ONF393295 OXB393293:OXB393295 PGX393293:PGX393295 PQT393293:PQT393295 QAP393293:QAP393295 QKL393293:QKL393295 QUH393293:QUH393295 RED393293:RED393295 RNZ393293:RNZ393295 RXV393293:RXV393295 SHR393293:SHR393295 SRN393293:SRN393295 TBJ393293:TBJ393295 TLF393293:TLF393295 TVB393293:TVB393295 UEX393293:UEX393295 UOT393293:UOT393295 UYP393293:UYP393295 VIL393293:VIL393295 VSH393293:VSH393295 WCD393293:WCD393295 WLZ393293:WLZ393295 WVV393293:WVV393295 N458829:N458831 JJ458829:JJ458831 TF458829:TF458831 ADB458829:ADB458831 AMX458829:AMX458831 AWT458829:AWT458831 BGP458829:BGP458831 BQL458829:BQL458831 CAH458829:CAH458831 CKD458829:CKD458831 CTZ458829:CTZ458831 DDV458829:DDV458831 DNR458829:DNR458831 DXN458829:DXN458831 EHJ458829:EHJ458831 ERF458829:ERF458831 FBB458829:FBB458831 FKX458829:FKX458831 FUT458829:FUT458831 GEP458829:GEP458831 GOL458829:GOL458831 GYH458829:GYH458831 HID458829:HID458831 HRZ458829:HRZ458831 IBV458829:IBV458831 ILR458829:ILR458831 IVN458829:IVN458831 JFJ458829:JFJ458831 JPF458829:JPF458831 JZB458829:JZB458831 KIX458829:KIX458831 KST458829:KST458831 LCP458829:LCP458831 LML458829:LML458831 LWH458829:LWH458831 MGD458829:MGD458831 MPZ458829:MPZ458831 MZV458829:MZV458831 NJR458829:NJR458831 NTN458829:NTN458831 ODJ458829:ODJ458831 ONF458829:ONF458831 OXB458829:OXB458831 PGX458829:PGX458831 PQT458829:PQT458831 QAP458829:QAP458831 QKL458829:QKL458831 QUH458829:QUH458831 RED458829:RED458831 RNZ458829:RNZ458831 RXV458829:RXV458831 SHR458829:SHR458831 SRN458829:SRN458831 TBJ458829:TBJ458831 TLF458829:TLF458831 TVB458829:TVB458831 UEX458829:UEX458831 UOT458829:UOT458831 UYP458829:UYP458831 VIL458829:VIL458831 VSH458829:VSH458831 WCD458829:WCD458831 WLZ458829:WLZ458831 WVV458829:WVV458831 N524365:N524367 JJ524365:JJ524367 TF524365:TF524367 ADB524365:ADB524367 AMX524365:AMX524367 AWT524365:AWT524367 BGP524365:BGP524367 BQL524365:BQL524367 CAH524365:CAH524367 CKD524365:CKD524367 CTZ524365:CTZ524367 DDV524365:DDV524367 DNR524365:DNR524367 DXN524365:DXN524367 EHJ524365:EHJ524367 ERF524365:ERF524367 FBB524365:FBB524367 FKX524365:FKX524367 FUT524365:FUT524367 GEP524365:GEP524367 GOL524365:GOL524367 GYH524365:GYH524367 HID524365:HID524367 HRZ524365:HRZ524367 IBV524365:IBV524367 ILR524365:ILR524367 IVN524365:IVN524367 JFJ524365:JFJ524367 JPF524365:JPF524367 JZB524365:JZB524367 KIX524365:KIX524367 KST524365:KST524367 LCP524365:LCP524367 LML524365:LML524367 LWH524365:LWH524367 MGD524365:MGD524367 MPZ524365:MPZ524367 MZV524365:MZV524367 NJR524365:NJR524367 NTN524365:NTN524367 ODJ524365:ODJ524367 ONF524365:ONF524367 OXB524365:OXB524367 PGX524365:PGX524367 PQT524365:PQT524367 QAP524365:QAP524367 QKL524365:QKL524367 QUH524365:QUH524367 RED524365:RED524367 RNZ524365:RNZ524367 RXV524365:RXV524367 SHR524365:SHR524367 SRN524365:SRN524367 TBJ524365:TBJ524367 TLF524365:TLF524367 TVB524365:TVB524367 UEX524365:UEX524367 UOT524365:UOT524367 UYP524365:UYP524367 VIL524365:VIL524367 VSH524365:VSH524367 WCD524365:WCD524367 WLZ524365:WLZ524367 WVV524365:WVV524367 N589901:N589903 JJ589901:JJ589903 TF589901:TF589903 ADB589901:ADB589903 AMX589901:AMX589903 AWT589901:AWT589903 BGP589901:BGP589903 BQL589901:BQL589903 CAH589901:CAH589903 CKD589901:CKD589903 CTZ589901:CTZ589903 DDV589901:DDV589903 DNR589901:DNR589903 DXN589901:DXN589903 EHJ589901:EHJ589903 ERF589901:ERF589903 FBB589901:FBB589903 FKX589901:FKX589903 FUT589901:FUT589903 GEP589901:GEP589903 GOL589901:GOL589903 GYH589901:GYH589903 HID589901:HID589903 HRZ589901:HRZ589903 IBV589901:IBV589903 ILR589901:ILR589903 IVN589901:IVN589903 JFJ589901:JFJ589903 JPF589901:JPF589903 JZB589901:JZB589903 KIX589901:KIX589903 KST589901:KST589903 LCP589901:LCP589903 LML589901:LML589903 LWH589901:LWH589903 MGD589901:MGD589903 MPZ589901:MPZ589903 MZV589901:MZV589903 NJR589901:NJR589903 NTN589901:NTN589903 ODJ589901:ODJ589903 ONF589901:ONF589903 OXB589901:OXB589903 PGX589901:PGX589903 PQT589901:PQT589903 QAP589901:QAP589903 QKL589901:QKL589903 QUH589901:QUH589903 RED589901:RED589903 RNZ589901:RNZ589903 RXV589901:RXV589903 SHR589901:SHR589903 SRN589901:SRN589903 TBJ589901:TBJ589903 TLF589901:TLF589903 TVB589901:TVB589903 UEX589901:UEX589903 UOT589901:UOT589903 UYP589901:UYP589903 VIL589901:VIL589903 VSH589901:VSH589903 WCD589901:WCD589903 WLZ589901:WLZ589903 WVV589901:WVV589903 N655437:N655439 JJ655437:JJ655439 TF655437:TF655439 ADB655437:ADB655439 AMX655437:AMX655439 AWT655437:AWT655439 BGP655437:BGP655439 BQL655437:BQL655439 CAH655437:CAH655439 CKD655437:CKD655439 CTZ655437:CTZ655439 DDV655437:DDV655439 DNR655437:DNR655439 DXN655437:DXN655439 EHJ655437:EHJ655439 ERF655437:ERF655439 FBB655437:FBB655439 FKX655437:FKX655439 FUT655437:FUT655439 GEP655437:GEP655439 GOL655437:GOL655439 GYH655437:GYH655439 HID655437:HID655439 HRZ655437:HRZ655439 IBV655437:IBV655439 ILR655437:ILR655439 IVN655437:IVN655439 JFJ655437:JFJ655439 JPF655437:JPF655439 JZB655437:JZB655439 KIX655437:KIX655439 KST655437:KST655439 LCP655437:LCP655439 LML655437:LML655439 LWH655437:LWH655439 MGD655437:MGD655439 MPZ655437:MPZ655439 MZV655437:MZV655439 NJR655437:NJR655439 NTN655437:NTN655439 ODJ655437:ODJ655439 ONF655437:ONF655439 OXB655437:OXB655439 PGX655437:PGX655439 PQT655437:PQT655439 QAP655437:QAP655439 QKL655437:QKL655439 QUH655437:QUH655439 RED655437:RED655439 RNZ655437:RNZ655439 RXV655437:RXV655439 SHR655437:SHR655439 SRN655437:SRN655439 TBJ655437:TBJ655439 TLF655437:TLF655439 TVB655437:TVB655439 UEX655437:UEX655439 UOT655437:UOT655439 UYP655437:UYP655439 VIL655437:VIL655439 VSH655437:VSH655439 WCD655437:WCD655439 WLZ655437:WLZ655439 WVV655437:WVV655439 N720973:N720975 JJ720973:JJ720975 TF720973:TF720975 ADB720973:ADB720975 AMX720973:AMX720975 AWT720973:AWT720975 BGP720973:BGP720975 BQL720973:BQL720975 CAH720973:CAH720975 CKD720973:CKD720975 CTZ720973:CTZ720975 DDV720973:DDV720975 DNR720973:DNR720975 DXN720973:DXN720975 EHJ720973:EHJ720975 ERF720973:ERF720975 FBB720973:FBB720975 FKX720973:FKX720975 FUT720973:FUT720975 GEP720973:GEP720975 GOL720973:GOL720975 GYH720973:GYH720975 HID720973:HID720975 HRZ720973:HRZ720975 IBV720973:IBV720975 ILR720973:ILR720975 IVN720973:IVN720975 JFJ720973:JFJ720975 JPF720973:JPF720975 JZB720973:JZB720975 KIX720973:KIX720975 KST720973:KST720975 LCP720973:LCP720975 LML720973:LML720975 LWH720973:LWH720975 MGD720973:MGD720975 MPZ720973:MPZ720975 MZV720973:MZV720975 NJR720973:NJR720975 NTN720973:NTN720975 ODJ720973:ODJ720975 ONF720973:ONF720975 OXB720973:OXB720975 PGX720973:PGX720975 PQT720973:PQT720975 QAP720973:QAP720975 QKL720973:QKL720975 QUH720973:QUH720975 RED720973:RED720975 RNZ720973:RNZ720975 RXV720973:RXV720975 SHR720973:SHR720975 SRN720973:SRN720975 TBJ720973:TBJ720975 TLF720973:TLF720975 TVB720973:TVB720975 UEX720973:UEX720975 UOT720973:UOT720975 UYP720973:UYP720975 VIL720973:VIL720975 VSH720973:VSH720975 WCD720973:WCD720975 WLZ720973:WLZ720975 WVV720973:WVV720975 N786509:N786511 JJ786509:JJ786511 TF786509:TF786511 ADB786509:ADB786511 AMX786509:AMX786511 AWT786509:AWT786511 BGP786509:BGP786511 BQL786509:BQL786511 CAH786509:CAH786511 CKD786509:CKD786511 CTZ786509:CTZ786511 DDV786509:DDV786511 DNR786509:DNR786511 DXN786509:DXN786511 EHJ786509:EHJ786511 ERF786509:ERF786511 FBB786509:FBB786511 FKX786509:FKX786511 FUT786509:FUT786511 GEP786509:GEP786511 GOL786509:GOL786511 GYH786509:GYH786511 HID786509:HID786511 HRZ786509:HRZ786511 IBV786509:IBV786511 ILR786509:ILR786511 IVN786509:IVN786511 JFJ786509:JFJ786511 JPF786509:JPF786511 JZB786509:JZB786511 KIX786509:KIX786511 KST786509:KST786511 LCP786509:LCP786511 LML786509:LML786511 LWH786509:LWH786511 MGD786509:MGD786511 MPZ786509:MPZ786511 MZV786509:MZV786511 NJR786509:NJR786511 NTN786509:NTN786511 ODJ786509:ODJ786511 ONF786509:ONF786511 OXB786509:OXB786511 PGX786509:PGX786511 PQT786509:PQT786511 QAP786509:QAP786511 QKL786509:QKL786511 QUH786509:QUH786511 RED786509:RED786511 RNZ786509:RNZ786511 RXV786509:RXV786511 SHR786509:SHR786511 SRN786509:SRN786511 TBJ786509:TBJ786511 TLF786509:TLF786511 TVB786509:TVB786511 UEX786509:UEX786511 UOT786509:UOT786511 UYP786509:UYP786511 VIL786509:VIL786511 VSH786509:VSH786511 WCD786509:WCD786511 WLZ786509:WLZ786511 WVV786509:WVV786511 N852045:N852047 JJ852045:JJ852047 TF852045:TF852047 ADB852045:ADB852047 AMX852045:AMX852047 AWT852045:AWT852047 BGP852045:BGP852047 BQL852045:BQL852047 CAH852045:CAH852047 CKD852045:CKD852047 CTZ852045:CTZ852047 DDV852045:DDV852047 DNR852045:DNR852047 DXN852045:DXN852047 EHJ852045:EHJ852047 ERF852045:ERF852047 FBB852045:FBB852047 FKX852045:FKX852047 FUT852045:FUT852047 GEP852045:GEP852047 GOL852045:GOL852047 GYH852045:GYH852047 HID852045:HID852047 HRZ852045:HRZ852047 IBV852045:IBV852047 ILR852045:ILR852047 IVN852045:IVN852047 JFJ852045:JFJ852047 JPF852045:JPF852047 JZB852045:JZB852047 KIX852045:KIX852047 KST852045:KST852047 LCP852045:LCP852047 LML852045:LML852047 LWH852045:LWH852047 MGD852045:MGD852047 MPZ852045:MPZ852047 MZV852045:MZV852047 NJR852045:NJR852047 NTN852045:NTN852047 ODJ852045:ODJ852047 ONF852045:ONF852047 OXB852045:OXB852047 PGX852045:PGX852047 PQT852045:PQT852047 QAP852045:QAP852047 QKL852045:QKL852047 QUH852045:QUH852047 RED852045:RED852047 RNZ852045:RNZ852047 RXV852045:RXV852047 SHR852045:SHR852047 SRN852045:SRN852047 TBJ852045:TBJ852047 TLF852045:TLF852047 TVB852045:TVB852047 UEX852045:UEX852047 UOT852045:UOT852047 UYP852045:UYP852047 VIL852045:VIL852047 VSH852045:VSH852047 WCD852045:WCD852047 WLZ852045:WLZ852047 WVV852045:WVV852047 N917581:N917583 JJ917581:JJ917583 TF917581:TF917583 ADB917581:ADB917583 AMX917581:AMX917583 AWT917581:AWT917583 BGP917581:BGP917583 BQL917581:BQL917583 CAH917581:CAH917583 CKD917581:CKD917583 CTZ917581:CTZ917583 DDV917581:DDV917583 DNR917581:DNR917583 DXN917581:DXN917583 EHJ917581:EHJ917583 ERF917581:ERF917583 FBB917581:FBB917583 FKX917581:FKX917583 FUT917581:FUT917583 GEP917581:GEP917583 GOL917581:GOL917583 GYH917581:GYH917583 HID917581:HID917583 HRZ917581:HRZ917583 IBV917581:IBV917583 ILR917581:ILR917583 IVN917581:IVN917583 JFJ917581:JFJ917583 JPF917581:JPF917583 JZB917581:JZB917583 KIX917581:KIX917583 KST917581:KST917583 LCP917581:LCP917583 LML917581:LML917583 LWH917581:LWH917583 MGD917581:MGD917583 MPZ917581:MPZ917583 MZV917581:MZV917583 NJR917581:NJR917583 NTN917581:NTN917583 ODJ917581:ODJ917583 ONF917581:ONF917583 OXB917581:OXB917583 PGX917581:PGX917583 PQT917581:PQT917583 QAP917581:QAP917583 QKL917581:QKL917583 QUH917581:QUH917583 RED917581:RED917583 RNZ917581:RNZ917583 RXV917581:RXV917583 SHR917581:SHR917583 SRN917581:SRN917583 TBJ917581:TBJ917583 TLF917581:TLF917583 TVB917581:TVB917583 UEX917581:UEX917583 UOT917581:UOT917583 UYP917581:UYP917583 VIL917581:VIL917583 VSH917581:VSH917583 WCD917581:WCD917583 WLZ917581:WLZ917583 WVV917581:WVV917583 N983117:N983119 JJ983117:JJ983119 TF983117:TF983119 ADB983117:ADB983119 AMX983117:AMX983119 AWT983117:AWT983119 BGP983117:BGP983119 BQL983117:BQL983119 CAH983117:CAH983119 CKD983117:CKD983119 CTZ983117:CTZ983119 DDV983117:DDV983119 DNR983117:DNR983119 DXN983117:DXN983119 EHJ983117:EHJ983119 ERF983117:ERF983119 FBB983117:FBB983119 FKX983117:FKX983119 FUT983117:FUT983119 GEP983117:GEP983119 GOL983117:GOL983119 GYH983117:GYH983119 HID983117:HID983119 HRZ983117:HRZ983119 IBV983117:IBV983119 ILR983117:ILR983119 IVN983117:IVN983119 JFJ983117:JFJ983119 JPF983117:JPF983119 JZB983117:JZB983119 KIX983117:KIX983119 KST983117:KST983119 LCP983117:LCP983119 LML983117:LML983119 LWH983117:LWH983119 MGD983117:MGD983119 MPZ983117:MPZ983119 MZV983117:MZV983119 NJR983117:NJR983119 NTN983117:NTN983119 ODJ983117:ODJ983119 ONF983117:ONF983119 OXB983117:OXB983119 PGX983117:PGX983119 PQT983117:PQT983119 QAP983117:QAP983119 QKL983117:QKL983119 QUH983117:QUH983119 RED983117:RED983119 RNZ983117:RNZ983119 RXV983117:RXV983119 SHR983117:SHR983119 SRN983117:SRN983119 TBJ983117:TBJ983119 TLF983117:TLF983119 TVB983117:TVB983119 UEX983117:UEX983119 UOT983117:UOT983119 UYP983117:UYP983119 VIL983117:VIL983119 VSH983117:VSH983119 WCD983117:WCD983119 WLZ983117:WLZ983119 WVV983117:WVV983119 UOT983111:UOT983113 JD53:JD55 SZ53:SZ55 ACV53:ACV55 AMR53:AMR55 AWN53:AWN55 BGJ53:BGJ55 BQF53:BQF55 CAB53:CAB55 CJX53:CJX55 CTT53:CTT55 DDP53:DDP55 DNL53:DNL55 DXH53:DXH55 EHD53:EHD55 EQZ53:EQZ55 FAV53:FAV55 FKR53:FKR55 FUN53:FUN55 GEJ53:GEJ55 GOF53:GOF55 GYB53:GYB55 HHX53:HHX55 HRT53:HRT55 IBP53:IBP55 ILL53:ILL55 IVH53:IVH55 JFD53:JFD55 JOZ53:JOZ55 JYV53:JYV55 KIR53:KIR55 KSN53:KSN55 LCJ53:LCJ55 LMF53:LMF55 LWB53:LWB55 MFX53:MFX55 MPT53:MPT55 MZP53:MZP55 NJL53:NJL55 NTH53:NTH55 ODD53:ODD55 OMZ53:OMZ55 OWV53:OWV55 PGR53:PGR55 PQN53:PQN55 QAJ53:QAJ55 QKF53:QKF55 QUB53:QUB55 RDX53:RDX55 RNT53:RNT55 RXP53:RXP55 SHL53:SHL55 SRH53:SRH55 TBD53:TBD55 TKZ53:TKZ55 TUV53:TUV55 UER53:UER55 UON53:UON55 UYJ53:UYJ55 VIF53:VIF55 VSB53:VSB55 WBX53:WBX55 WLT53:WLT55 WVP53:WVP55 H65591:H65593 JD65591:JD65593 SZ65591:SZ65593 ACV65591:ACV65593 AMR65591:AMR65593 AWN65591:AWN65593 BGJ65591:BGJ65593 BQF65591:BQF65593 CAB65591:CAB65593 CJX65591:CJX65593 CTT65591:CTT65593 DDP65591:DDP65593 DNL65591:DNL65593 DXH65591:DXH65593 EHD65591:EHD65593 EQZ65591:EQZ65593 FAV65591:FAV65593 FKR65591:FKR65593 FUN65591:FUN65593 GEJ65591:GEJ65593 GOF65591:GOF65593 GYB65591:GYB65593 HHX65591:HHX65593 HRT65591:HRT65593 IBP65591:IBP65593 ILL65591:ILL65593 IVH65591:IVH65593 JFD65591:JFD65593 JOZ65591:JOZ65593 JYV65591:JYV65593 KIR65591:KIR65593 KSN65591:KSN65593 LCJ65591:LCJ65593 LMF65591:LMF65593 LWB65591:LWB65593 MFX65591:MFX65593 MPT65591:MPT65593 MZP65591:MZP65593 NJL65591:NJL65593 NTH65591:NTH65593 ODD65591:ODD65593 OMZ65591:OMZ65593 OWV65591:OWV65593 PGR65591:PGR65593 PQN65591:PQN65593 QAJ65591:QAJ65593 QKF65591:QKF65593 QUB65591:QUB65593 RDX65591:RDX65593 RNT65591:RNT65593 RXP65591:RXP65593 SHL65591:SHL65593 SRH65591:SRH65593 TBD65591:TBD65593 TKZ65591:TKZ65593 TUV65591:TUV65593 UER65591:UER65593 UON65591:UON65593 UYJ65591:UYJ65593 VIF65591:VIF65593 VSB65591:VSB65593 WBX65591:WBX65593 WLT65591:WLT65593 WVP65591:WVP65593 H131127:H131129 JD131127:JD131129 SZ131127:SZ131129 ACV131127:ACV131129 AMR131127:AMR131129 AWN131127:AWN131129 BGJ131127:BGJ131129 BQF131127:BQF131129 CAB131127:CAB131129 CJX131127:CJX131129 CTT131127:CTT131129 DDP131127:DDP131129 DNL131127:DNL131129 DXH131127:DXH131129 EHD131127:EHD131129 EQZ131127:EQZ131129 FAV131127:FAV131129 FKR131127:FKR131129 FUN131127:FUN131129 GEJ131127:GEJ131129 GOF131127:GOF131129 GYB131127:GYB131129 HHX131127:HHX131129 HRT131127:HRT131129 IBP131127:IBP131129 ILL131127:ILL131129 IVH131127:IVH131129 JFD131127:JFD131129 JOZ131127:JOZ131129 JYV131127:JYV131129 KIR131127:KIR131129 KSN131127:KSN131129 LCJ131127:LCJ131129 LMF131127:LMF131129 LWB131127:LWB131129 MFX131127:MFX131129 MPT131127:MPT131129 MZP131127:MZP131129 NJL131127:NJL131129 NTH131127:NTH131129 ODD131127:ODD131129 OMZ131127:OMZ131129 OWV131127:OWV131129 PGR131127:PGR131129 PQN131127:PQN131129 QAJ131127:QAJ131129 QKF131127:QKF131129 QUB131127:QUB131129 RDX131127:RDX131129 RNT131127:RNT131129 RXP131127:RXP131129 SHL131127:SHL131129 SRH131127:SRH131129 TBD131127:TBD131129 TKZ131127:TKZ131129 TUV131127:TUV131129 UER131127:UER131129 UON131127:UON131129 UYJ131127:UYJ131129 VIF131127:VIF131129 VSB131127:VSB131129 WBX131127:WBX131129 WLT131127:WLT131129 WVP131127:WVP131129 H196663:H196665 JD196663:JD196665 SZ196663:SZ196665 ACV196663:ACV196665 AMR196663:AMR196665 AWN196663:AWN196665 BGJ196663:BGJ196665 BQF196663:BQF196665 CAB196663:CAB196665 CJX196663:CJX196665 CTT196663:CTT196665 DDP196663:DDP196665 DNL196663:DNL196665 DXH196663:DXH196665 EHD196663:EHD196665 EQZ196663:EQZ196665 FAV196663:FAV196665 FKR196663:FKR196665 FUN196663:FUN196665 GEJ196663:GEJ196665 GOF196663:GOF196665 GYB196663:GYB196665 HHX196663:HHX196665 HRT196663:HRT196665 IBP196663:IBP196665 ILL196663:ILL196665 IVH196663:IVH196665 JFD196663:JFD196665 JOZ196663:JOZ196665 JYV196663:JYV196665 KIR196663:KIR196665 KSN196663:KSN196665 LCJ196663:LCJ196665 LMF196663:LMF196665 LWB196663:LWB196665 MFX196663:MFX196665 MPT196663:MPT196665 MZP196663:MZP196665 NJL196663:NJL196665 NTH196663:NTH196665 ODD196663:ODD196665 OMZ196663:OMZ196665 OWV196663:OWV196665 PGR196663:PGR196665 PQN196663:PQN196665 QAJ196663:QAJ196665 QKF196663:QKF196665 QUB196663:QUB196665 RDX196663:RDX196665 RNT196663:RNT196665 RXP196663:RXP196665 SHL196663:SHL196665 SRH196663:SRH196665 TBD196663:TBD196665 TKZ196663:TKZ196665 TUV196663:TUV196665 UER196663:UER196665 UON196663:UON196665 UYJ196663:UYJ196665 VIF196663:VIF196665 VSB196663:VSB196665 WBX196663:WBX196665 WLT196663:WLT196665 WVP196663:WVP196665 H262199:H262201 JD262199:JD262201 SZ262199:SZ262201 ACV262199:ACV262201 AMR262199:AMR262201 AWN262199:AWN262201 BGJ262199:BGJ262201 BQF262199:BQF262201 CAB262199:CAB262201 CJX262199:CJX262201 CTT262199:CTT262201 DDP262199:DDP262201 DNL262199:DNL262201 DXH262199:DXH262201 EHD262199:EHD262201 EQZ262199:EQZ262201 FAV262199:FAV262201 FKR262199:FKR262201 FUN262199:FUN262201 GEJ262199:GEJ262201 GOF262199:GOF262201 GYB262199:GYB262201 HHX262199:HHX262201 HRT262199:HRT262201 IBP262199:IBP262201 ILL262199:ILL262201 IVH262199:IVH262201 JFD262199:JFD262201 JOZ262199:JOZ262201 JYV262199:JYV262201 KIR262199:KIR262201 KSN262199:KSN262201 LCJ262199:LCJ262201 LMF262199:LMF262201 LWB262199:LWB262201 MFX262199:MFX262201 MPT262199:MPT262201 MZP262199:MZP262201 NJL262199:NJL262201 NTH262199:NTH262201 ODD262199:ODD262201 OMZ262199:OMZ262201 OWV262199:OWV262201 PGR262199:PGR262201 PQN262199:PQN262201 QAJ262199:QAJ262201 QKF262199:QKF262201 QUB262199:QUB262201 RDX262199:RDX262201 RNT262199:RNT262201 RXP262199:RXP262201 SHL262199:SHL262201 SRH262199:SRH262201 TBD262199:TBD262201 TKZ262199:TKZ262201 TUV262199:TUV262201 UER262199:UER262201 UON262199:UON262201 UYJ262199:UYJ262201 VIF262199:VIF262201 VSB262199:VSB262201 WBX262199:WBX262201 WLT262199:WLT262201 WVP262199:WVP262201 H327735:H327737 JD327735:JD327737 SZ327735:SZ327737 ACV327735:ACV327737 AMR327735:AMR327737 AWN327735:AWN327737 BGJ327735:BGJ327737 BQF327735:BQF327737 CAB327735:CAB327737 CJX327735:CJX327737 CTT327735:CTT327737 DDP327735:DDP327737 DNL327735:DNL327737 DXH327735:DXH327737 EHD327735:EHD327737 EQZ327735:EQZ327737 FAV327735:FAV327737 FKR327735:FKR327737 FUN327735:FUN327737 GEJ327735:GEJ327737 GOF327735:GOF327737 GYB327735:GYB327737 HHX327735:HHX327737 HRT327735:HRT327737 IBP327735:IBP327737 ILL327735:ILL327737 IVH327735:IVH327737 JFD327735:JFD327737 JOZ327735:JOZ327737 JYV327735:JYV327737 KIR327735:KIR327737 KSN327735:KSN327737 LCJ327735:LCJ327737 LMF327735:LMF327737 LWB327735:LWB327737 MFX327735:MFX327737 MPT327735:MPT327737 MZP327735:MZP327737 NJL327735:NJL327737 NTH327735:NTH327737 ODD327735:ODD327737 OMZ327735:OMZ327737 OWV327735:OWV327737 PGR327735:PGR327737 PQN327735:PQN327737 QAJ327735:QAJ327737 QKF327735:QKF327737 QUB327735:QUB327737 RDX327735:RDX327737 RNT327735:RNT327737 RXP327735:RXP327737 SHL327735:SHL327737 SRH327735:SRH327737 TBD327735:TBD327737 TKZ327735:TKZ327737 TUV327735:TUV327737 UER327735:UER327737 UON327735:UON327737 UYJ327735:UYJ327737 VIF327735:VIF327737 VSB327735:VSB327737 WBX327735:WBX327737 WLT327735:WLT327737 WVP327735:WVP327737 H393271:H393273 JD393271:JD393273 SZ393271:SZ393273 ACV393271:ACV393273 AMR393271:AMR393273 AWN393271:AWN393273 BGJ393271:BGJ393273 BQF393271:BQF393273 CAB393271:CAB393273 CJX393271:CJX393273 CTT393271:CTT393273 DDP393271:DDP393273 DNL393271:DNL393273 DXH393271:DXH393273 EHD393271:EHD393273 EQZ393271:EQZ393273 FAV393271:FAV393273 FKR393271:FKR393273 FUN393271:FUN393273 GEJ393271:GEJ393273 GOF393271:GOF393273 GYB393271:GYB393273 HHX393271:HHX393273 HRT393271:HRT393273 IBP393271:IBP393273 ILL393271:ILL393273 IVH393271:IVH393273 JFD393271:JFD393273 JOZ393271:JOZ393273 JYV393271:JYV393273 KIR393271:KIR393273 KSN393271:KSN393273 LCJ393271:LCJ393273 LMF393271:LMF393273 LWB393271:LWB393273 MFX393271:MFX393273 MPT393271:MPT393273 MZP393271:MZP393273 NJL393271:NJL393273 NTH393271:NTH393273 ODD393271:ODD393273 OMZ393271:OMZ393273 OWV393271:OWV393273 PGR393271:PGR393273 PQN393271:PQN393273 QAJ393271:QAJ393273 QKF393271:QKF393273 QUB393271:QUB393273 RDX393271:RDX393273 RNT393271:RNT393273 RXP393271:RXP393273 SHL393271:SHL393273 SRH393271:SRH393273 TBD393271:TBD393273 TKZ393271:TKZ393273 TUV393271:TUV393273 UER393271:UER393273 UON393271:UON393273 UYJ393271:UYJ393273 VIF393271:VIF393273 VSB393271:VSB393273 WBX393271:WBX393273 WLT393271:WLT393273 WVP393271:WVP393273 H458807:H458809 JD458807:JD458809 SZ458807:SZ458809 ACV458807:ACV458809 AMR458807:AMR458809 AWN458807:AWN458809 BGJ458807:BGJ458809 BQF458807:BQF458809 CAB458807:CAB458809 CJX458807:CJX458809 CTT458807:CTT458809 DDP458807:DDP458809 DNL458807:DNL458809 DXH458807:DXH458809 EHD458807:EHD458809 EQZ458807:EQZ458809 FAV458807:FAV458809 FKR458807:FKR458809 FUN458807:FUN458809 GEJ458807:GEJ458809 GOF458807:GOF458809 GYB458807:GYB458809 HHX458807:HHX458809 HRT458807:HRT458809 IBP458807:IBP458809 ILL458807:ILL458809 IVH458807:IVH458809 JFD458807:JFD458809 JOZ458807:JOZ458809 JYV458807:JYV458809 KIR458807:KIR458809 KSN458807:KSN458809 LCJ458807:LCJ458809 LMF458807:LMF458809 LWB458807:LWB458809 MFX458807:MFX458809 MPT458807:MPT458809 MZP458807:MZP458809 NJL458807:NJL458809 NTH458807:NTH458809 ODD458807:ODD458809 OMZ458807:OMZ458809 OWV458807:OWV458809 PGR458807:PGR458809 PQN458807:PQN458809 QAJ458807:QAJ458809 QKF458807:QKF458809 QUB458807:QUB458809 RDX458807:RDX458809 RNT458807:RNT458809 RXP458807:RXP458809 SHL458807:SHL458809 SRH458807:SRH458809 TBD458807:TBD458809 TKZ458807:TKZ458809 TUV458807:TUV458809 UER458807:UER458809 UON458807:UON458809 UYJ458807:UYJ458809 VIF458807:VIF458809 VSB458807:VSB458809 WBX458807:WBX458809 WLT458807:WLT458809 WVP458807:WVP458809 H524343:H524345 JD524343:JD524345 SZ524343:SZ524345 ACV524343:ACV524345 AMR524343:AMR524345 AWN524343:AWN524345 BGJ524343:BGJ524345 BQF524343:BQF524345 CAB524343:CAB524345 CJX524343:CJX524345 CTT524343:CTT524345 DDP524343:DDP524345 DNL524343:DNL524345 DXH524343:DXH524345 EHD524343:EHD524345 EQZ524343:EQZ524345 FAV524343:FAV524345 FKR524343:FKR524345 FUN524343:FUN524345 GEJ524343:GEJ524345 GOF524343:GOF524345 GYB524343:GYB524345 HHX524343:HHX524345 HRT524343:HRT524345 IBP524343:IBP524345 ILL524343:ILL524345 IVH524343:IVH524345 JFD524343:JFD524345 JOZ524343:JOZ524345 JYV524343:JYV524345 KIR524343:KIR524345 KSN524343:KSN524345 LCJ524343:LCJ524345 LMF524343:LMF524345 LWB524343:LWB524345 MFX524343:MFX524345 MPT524343:MPT524345 MZP524343:MZP524345 NJL524343:NJL524345 NTH524343:NTH524345 ODD524343:ODD524345 OMZ524343:OMZ524345 OWV524343:OWV524345 PGR524343:PGR524345 PQN524343:PQN524345 QAJ524343:QAJ524345 QKF524343:QKF524345 QUB524343:QUB524345 RDX524343:RDX524345 RNT524343:RNT524345 RXP524343:RXP524345 SHL524343:SHL524345 SRH524343:SRH524345 TBD524343:TBD524345 TKZ524343:TKZ524345 TUV524343:TUV524345 UER524343:UER524345 UON524343:UON524345 UYJ524343:UYJ524345 VIF524343:VIF524345 VSB524343:VSB524345 WBX524343:WBX524345 WLT524343:WLT524345 WVP524343:WVP524345 H589879:H589881 JD589879:JD589881 SZ589879:SZ589881 ACV589879:ACV589881 AMR589879:AMR589881 AWN589879:AWN589881 BGJ589879:BGJ589881 BQF589879:BQF589881 CAB589879:CAB589881 CJX589879:CJX589881 CTT589879:CTT589881 DDP589879:DDP589881 DNL589879:DNL589881 DXH589879:DXH589881 EHD589879:EHD589881 EQZ589879:EQZ589881 FAV589879:FAV589881 FKR589879:FKR589881 FUN589879:FUN589881 GEJ589879:GEJ589881 GOF589879:GOF589881 GYB589879:GYB589881 HHX589879:HHX589881 HRT589879:HRT589881 IBP589879:IBP589881 ILL589879:ILL589881 IVH589879:IVH589881 JFD589879:JFD589881 JOZ589879:JOZ589881 JYV589879:JYV589881 KIR589879:KIR589881 KSN589879:KSN589881 LCJ589879:LCJ589881 LMF589879:LMF589881 LWB589879:LWB589881 MFX589879:MFX589881 MPT589879:MPT589881 MZP589879:MZP589881 NJL589879:NJL589881 NTH589879:NTH589881 ODD589879:ODD589881 OMZ589879:OMZ589881 OWV589879:OWV589881 PGR589879:PGR589881 PQN589879:PQN589881 QAJ589879:QAJ589881 QKF589879:QKF589881 QUB589879:QUB589881 RDX589879:RDX589881 RNT589879:RNT589881 RXP589879:RXP589881 SHL589879:SHL589881 SRH589879:SRH589881 TBD589879:TBD589881 TKZ589879:TKZ589881 TUV589879:TUV589881 UER589879:UER589881 UON589879:UON589881 UYJ589879:UYJ589881 VIF589879:VIF589881 VSB589879:VSB589881 WBX589879:WBX589881 WLT589879:WLT589881 WVP589879:WVP589881 H655415:H655417 JD655415:JD655417 SZ655415:SZ655417 ACV655415:ACV655417 AMR655415:AMR655417 AWN655415:AWN655417 BGJ655415:BGJ655417 BQF655415:BQF655417 CAB655415:CAB655417 CJX655415:CJX655417 CTT655415:CTT655417 DDP655415:DDP655417 DNL655415:DNL655417 DXH655415:DXH655417 EHD655415:EHD655417 EQZ655415:EQZ655417 FAV655415:FAV655417 FKR655415:FKR655417 FUN655415:FUN655417 GEJ655415:GEJ655417 GOF655415:GOF655417 GYB655415:GYB655417 HHX655415:HHX655417 HRT655415:HRT655417 IBP655415:IBP655417 ILL655415:ILL655417 IVH655415:IVH655417 JFD655415:JFD655417 JOZ655415:JOZ655417 JYV655415:JYV655417 KIR655415:KIR655417 KSN655415:KSN655417 LCJ655415:LCJ655417 LMF655415:LMF655417 LWB655415:LWB655417 MFX655415:MFX655417 MPT655415:MPT655417 MZP655415:MZP655417 NJL655415:NJL655417 NTH655415:NTH655417 ODD655415:ODD655417 OMZ655415:OMZ655417 OWV655415:OWV655417 PGR655415:PGR655417 PQN655415:PQN655417 QAJ655415:QAJ655417 QKF655415:QKF655417 QUB655415:QUB655417 RDX655415:RDX655417 RNT655415:RNT655417 RXP655415:RXP655417 SHL655415:SHL655417 SRH655415:SRH655417 TBD655415:TBD655417 TKZ655415:TKZ655417 TUV655415:TUV655417 UER655415:UER655417 UON655415:UON655417 UYJ655415:UYJ655417 VIF655415:VIF655417 VSB655415:VSB655417 WBX655415:WBX655417 WLT655415:WLT655417 WVP655415:WVP655417 H720951:H720953 JD720951:JD720953 SZ720951:SZ720953 ACV720951:ACV720953 AMR720951:AMR720953 AWN720951:AWN720953 BGJ720951:BGJ720953 BQF720951:BQF720953 CAB720951:CAB720953 CJX720951:CJX720953 CTT720951:CTT720953 DDP720951:DDP720953 DNL720951:DNL720953 DXH720951:DXH720953 EHD720951:EHD720953 EQZ720951:EQZ720953 FAV720951:FAV720953 FKR720951:FKR720953 FUN720951:FUN720953 GEJ720951:GEJ720953 GOF720951:GOF720953 GYB720951:GYB720953 HHX720951:HHX720953 HRT720951:HRT720953 IBP720951:IBP720953 ILL720951:ILL720953 IVH720951:IVH720953 JFD720951:JFD720953 JOZ720951:JOZ720953 JYV720951:JYV720953 KIR720951:KIR720953 KSN720951:KSN720953 LCJ720951:LCJ720953 LMF720951:LMF720953 LWB720951:LWB720953 MFX720951:MFX720953 MPT720951:MPT720953 MZP720951:MZP720953 NJL720951:NJL720953 NTH720951:NTH720953 ODD720951:ODD720953 OMZ720951:OMZ720953 OWV720951:OWV720953 PGR720951:PGR720953 PQN720951:PQN720953 QAJ720951:QAJ720953 QKF720951:QKF720953 QUB720951:QUB720953 RDX720951:RDX720953 RNT720951:RNT720953 RXP720951:RXP720953 SHL720951:SHL720953 SRH720951:SRH720953 TBD720951:TBD720953 TKZ720951:TKZ720953 TUV720951:TUV720953 UER720951:UER720953 UON720951:UON720953 UYJ720951:UYJ720953 VIF720951:VIF720953 VSB720951:VSB720953 WBX720951:WBX720953 WLT720951:WLT720953 WVP720951:WVP720953 H786487:H786489 JD786487:JD786489 SZ786487:SZ786489 ACV786487:ACV786489 AMR786487:AMR786489 AWN786487:AWN786489 BGJ786487:BGJ786489 BQF786487:BQF786489 CAB786487:CAB786489 CJX786487:CJX786489 CTT786487:CTT786489 DDP786487:DDP786489 DNL786487:DNL786489 DXH786487:DXH786489 EHD786487:EHD786489 EQZ786487:EQZ786489 FAV786487:FAV786489 FKR786487:FKR786489 FUN786487:FUN786489 GEJ786487:GEJ786489 GOF786487:GOF786489 GYB786487:GYB786489 HHX786487:HHX786489 HRT786487:HRT786489 IBP786487:IBP786489 ILL786487:ILL786489 IVH786487:IVH786489 JFD786487:JFD786489 JOZ786487:JOZ786489 JYV786487:JYV786489 KIR786487:KIR786489 KSN786487:KSN786489 LCJ786487:LCJ786489 LMF786487:LMF786489 LWB786487:LWB786489 MFX786487:MFX786489 MPT786487:MPT786489 MZP786487:MZP786489 NJL786487:NJL786489 NTH786487:NTH786489 ODD786487:ODD786489 OMZ786487:OMZ786489 OWV786487:OWV786489 PGR786487:PGR786489 PQN786487:PQN786489 QAJ786487:QAJ786489 QKF786487:QKF786489 QUB786487:QUB786489 RDX786487:RDX786489 RNT786487:RNT786489 RXP786487:RXP786489 SHL786487:SHL786489 SRH786487:SRH786489 TBD786487:TBD786489 TKZ786487:TKZ786489 TUV786487:TUV786489 UER786487:UER786489 UON786487:UON786489 UYJ786487:UYJ786489 VIF786487:VIF786489 VSB786487:VSB786489 WBX786487:WBX786489 WLT786487:WLT786489 WVP786487:WVP786489 H852023:H852025 JD852023:JD852025 SZ852023:SZ852025 ACV852023:ACV852025 AMR852023:AMR852025 AWN852023:AWN852025 BGJ852023:BGJ852025 BQF852023:BQF852025 CAB852023:CAB852025 CJX852023:CJX852025 CTT852023:CTT852025 DDP852023:DDP852025 DNL852023:DNL852025 DXH852023:DXH852025 EHD852023:EHD852025 EQZ852023:EQZ852025 FAV852023:FAV852025 FKR852023:FKR852025 FUN852023:FUN852025 GEJ852023:GEJ852025 GOF852023:GOF852025 GYB852023:GYB852025 HHX852023:HHX852025 HRT852023:HRT852025 IBP852023:IBP852025 ILL852023:ILL852025 IVH852023:IVH852025 JFD852023:JFD852025 JOZ852023:JOZ852025 JYV852023:JYV852025 KIR852023:KIR852025 KSN852023:KSN852025 LCJ852023:LCJ852025 LMF852023:LMF852025 LWB852023:LWB852025 MFX852023:MFX852025 MPT852023:MPT852025 MZP852023:MZP852025 NJL852023:NJL852025 NTH852023:NTH852025 ODD852023:ODD852025 OMZ852023:OMZ852025 OWV852023:OWV852025 PGR852023:PGR852025 PQN852023:PQN852025 QAJ852023:QAJ852025 QKF852023:QKF852025 QUB852023:QUB852025 RDX852023:RDX852025 RNT852023:RNT852025 RXP852023:RXP852025 SHL852023:SHL852025 SRH852023:SRH852025 TBD852023:TBD852025 TKZ852023:TKZ852025 TUV852023:TUV852025 UER852023:UER852025 UON852023:UON852025 UYJ852023:UYJ852025 VIF852023:VIF852025 VSB852023:VSB852025 WBX852023:WBX852025 WLT852023:WLT852025 WVP852023:WVP852025 H917559:H917561 JD917559:JD917561 SZ917559:SZ917561 ACV917559:ACV917561 AMR917559:AMR917561 AWN917559:AWN917561 BGJ917559:BGJ917561 BQF917559:BQF917561 CAB917559:CAB917561 CJX917559:CJX917561 CTT917559:CTT917561 DDP917559:DDP917561 DNL917559:DNL917561 DXH917559:DXH917561 EHD917559:EHD917561 EQZ917559:EQZ917561 FAV917559:FAV917561 FKR917559:FKR917561 FUN917559:FUN917561 GEJ917559:GEJ917561 GOF917559:GOF917561 GYB917559:GYB917561 HHX917559:HHX917561 HRT917559:HRT917561 IBP917559:IBP917561 ILL917559:ILL917561 IVH917559:IVH917561 JFD917559:JFD917561 JOZ917559:JOZ917561 JYV917559:JYV917561 KIR917559:KIR917561 KSN917559:KSN917561 LCJ917559:LCJ917561 LMF917559:LMF917561 LWB917559:LWB917561 MFX917559:MFX917561 MPT917559:MPT917561 MZP917559:MZP917561 NJL917559:NJL917561 NTH917559:NTH917561 ODD917559:ODD917561 OMZ917559:OMZ917561 OWV917559:OWV917561 PGR917559:PGR917561 PQN917559:PQN917561 QAJ917559:QAJ917561 QKF917559:QKF917561 QUB917559:QUB917561 RDX917559:RDX917561 RNT917559:RNT917561 RXP917559:RXP917561 SHL917559:SHL917561 SRH917559:SRH917561 TBD917559:TBD917561 TKZ917559:TKZ917561 TUV917559:TUV917561 UER917559:UER917561 UON917559:UON917561 UYJ917559:UYJ917561 VIF917559:VIF917561 VSB917559:VSB917561 WBX917559:WBX917561 WLT917559:WLT917561 WVP917559:WVP917561 H983095:H983097 JD983095:JD983097 SZ983095:SZ983097 ACV983095:ACV983097 AMR983095:AMR983097 AWN983095:AWN983097 BGJ983095:BGJ983097 BQF983095:BQF983097 CAB983095:CAB983097 CJX983095:CJX983097 CTT983095:CTT983097 DDP983095:DDP983097 DNL983095:DNL983097 DXH983095:DXH983097 EHD983095:EHD983097 EQZ983095:EQZ983097 FAV983095:FAV983097 FKR983095:FKR983097 FUN983095:FUN983097 GEJ983095:GEJ983097 GOF983095:GOF983097 GYB983095:GYB983097 HHX983095:HHX983097 HRT983095:HRT983097 IBP983095:IBP983097 ILL983095:ILL983097 IVH983095:IVH983097 JFD983095:JFD983097 JOZ983095:JOZ983097 JYV983095:JYV983097 KIR983095:KIR983097 KSN983095:KSN983097 LCJ983095:LCJ983097 LMF983095:LMF983097 LWB983095:LWB983097 MFX983095:MFX983097 MPT983095:MPT983097 MZP983095:MZP983097 NJL983095:NJL983097 NTH983095:NTH983097 ODD983095:ODD983097 OMZ983095:OMZ983097 OWV983095:OWV983097 PGR983095:PGR983097 PQN983095:PQN983097 QAJ983095:QAJ983097 QKF983095:QKF983097 QUB983095:QUB983097 RDX983095:RDX983097 RNT983095:RNT983097 RXP983095:RXP983097 SHL983095:SHL983097 SRH983095:SRH983097 TBD983095:TBD983097 TKZ983095:TKZ983097 TUV983095:TUV983097 UER983095:UER983097 UON983095:UON983097 UYJ983095:UYJ983097 VIF983095:VIF983097 VSB983095:VSB983097 WBX983095:WBX983097 WLT983095:WLT983097 WVP983095:WVP983097 VIL983111:VIL983113 JJ60:JJ61 TF60:TF61 ADB60:ADB61 AMX60:AMX61 AWT60:AWT61 BGP60:BGP61 BQL60:BQL61 CAH60:CAH61 CKD60:CKD61 CTZ60:CTZ61 DDV60:DDV61 DNR60:DNR61 DXN60:DXN61 EHJ60:EHJ61 ERF60:ERF61 FBB60:FBB61 FKX60:FKX61 FUT60:FUT61 GEP60:GEP61 GOL60:GOL61 GYH60:GYH61 HID60:HID61 HRZ60:HRZ61 IBV60:IBV61 ILR60:ILR61 IVN60:IVN61 JFJ60:JFJ61 JPF60:JPF61 JZB60:JZB61 KIX60:KIX61 KST60:KST61 LCP60:LCP61 LML60:LML61 LWH60:LWH61 MGD60:MGD61 MPZ60:MPZ61 MZV60:MZV61 NJR60:NJR61 NTN60:NTN61 ODJ60:ODJ61 ONF60:ONF61 OXB60:OXB61 PGX60:PGX61 PQT60:PQT61 QAP60:QAP61 QKL60:QKL61 QUH60:QUH61 RED60:RED61 RNZ60:RNZ61 RXV60:RXV61 SHR60:SHR61 SRN60:SRN61 TBJ60:TBJ61 TLF60:TLF61 TVB60:TVB61 UEX60:UEX61 UOT60:UOT61 UYP60:UYP61 VIL60:VIL61 VSH60:VSH61 WCD60:WCD61 WLZ60:WLZ61 WVV60:WVV61 N65598:N65599 JJ65598:JJ65599 TF65598:TF65599 ADB65598:ADB65599 AMX65598:AMX65599 AWT65598:AWT65599 BGP65598:BGP65599 BQL65598:BQL65599 CAH65598:CAH65599 CKD65598:CKD65599 CTZ65598:CTZ65599 DDV65598:DDV65599 DNR65598:DNR65599 DXN65598:DXN65599 EHJ65598:EHJ65599 ERF65598:ERF65599 FBB65598:FBB65599 FKX65598:FKX65599 FUT65598:FUT65599 GEP65598:GEP65599 GOL65598:GOL65599 GYH65598:GYH65599 HID65598:HID65599 HRZ65598:HRZ65599 IBV65598:IBV65599 ILR65598:ILR65599 IVN65598:IVN65599 JFJ65598:JFJ65599 JPF65598:JPF65599 JZB65598:JZB65599 KIX65598:KIX65599 KST65598:KST65599 LCP65598:LCP65599 LML65598:LML65599 LWH65598:LWH65599 MGD65598:MGD65599 MPZ65598:MPZ65599 MZV65598:MZV65599 NJR65598:NJR65599 NTN65598:NTN65599 ODJ65598:ODJ65599 ONF65598:ONF65599 OXB65598:OXB65599 PGX65598:PGX65599 PQT65598:PQT65599 QAP65598:QAP65599 QKL65598:QKL65599 QUH65598:QUH65599 RED65598:RED65599 RNZ65598:RNZ65599 RXV65598:RXV65599 SHR65598:SHR65599 SRN65598:SRN65599 TBJ65598:TBJ65599 TLF65598:TLF65599 TVB65598:TVB65599 UEX65598:UEX65599 UOT65598:UOT65599 UYP65598:UYP65599 VIL65598:VIL65599 VSH65598:VSH65599 WCD65598:WCD65599 WLZ65598:WLZ65599 WVV65598:WVV65599 N131134:N131135 JJ131134:JJ131135 TF131134:TF131135 ADB131134:ADB131135 AMX131134:AMX131135 AWT131134:AWT131135 BGP131134:BGP131135 BQL131134:BQL131135 CAH131134:CAH131135 CKD131134:CKD131135 CTZ131134:CTZ131135 DDV131134:DDV131135 DNR131134:DNR131135 DXN131134:DXN131135 EHJ131134:EHJ131135 ERF131134:ERF131135 FBB131134:FBB131135 FKX131134:FKX131135 FUT131134:FUT131135 GEP131134:GEP131135 GOL131134:GOL131135 GYH131134:GYH131135 HID131134:HID131135 HRZ131134:HRZ131135 IBV131134:IBV131135 ILR131134:ILR131135 IVN131134:IVN131135 JFJ131134:JFJ131135 JPF131134:JPF131135 JZB131134:JZB131135 KIX131134:KIX131135 KST131134:KST131135 LCP131134:LCP131135 LML131134:LML131135 LWH131134:LWH131135 MGD131134:MGD131135 MPZ131134:MPZ131135 MZV131134:MZV131135 NJR131134:NJR131135 NTN131134:NTN131135 ODJ131134:ODJ131135 ONF131134:ONF131135 OXB131134:OXB131135 PGX131134:PGX131135 PQT131134:PQT131135 QAP131134:QAP131135 QKL131134:QKL131135 QUH131134:QUH131135 RED131134:RED131135 RNZ131134:RNZ131135 RXV131134:RXV131135 SHR131134:SHR131135 SRN131134:SRN131135 TBJ131134:TBJ131135 TLF131134:TLF131135 TVB131134:TVB131135 UEX131134:UEX131135 UOT131134:UOT131135 UYP131134:UYP131135 VIL131134:VIL131135 VSH131134:VSH131135 WCD131134:WCD131135 WLZ131134:WLZ131135 WVV131134:WVV131135 N196670:N196671 JJ196670:JJ196671 TF196670:TF196671 ADB196670:ADB196671 AMX196670:AMX196671 AWT196670:AWT196671 BGP196670:BGP196671 BQL196670:BQL196671 CAH196670:CAH196671 CKD196670:CKD196671 CTZ196670:CTZ196671 DDV196670:DDV196671 DNR196670:DNR196671 DXN196670:DXN196671 EHJ196670:EHJ196671 ERF196670:ERF196671 FBB196670:FBB196671 FKX196670:FKX196671 FUT196670:FUT196671 GEP196670:GEP196671 GOL196670:GOL196671 GYH196670:GYH196671 HID196670:HID196671 HRZ196670:HRZ196671 IBV196670:IBV196671 ILR196670:ILR196671 IVN196670:IVN196671 JFJ196670:JFJ196671 JPF196670:JPF196671 JZB196670:JZB196671 KIX196670:KIX196671 KST196670:KST196671 LCP196670:LCP196671 LML196670:LML196671 LWH196670:LWH196671 MGD196670:MGD196671 MPZ196670:MPZ196671 MZV196670:MZV196671 NJR196670:NJR196671 NTN196670:NTN196671 ODJ196670:ODJ196671 ONF196670:ONF196671 OXB196670:OXB196671 PGX196670:PGX196671 PQT196670:PQT196671 QAP196670:QAP196671 QKL196670:QKL196671 QUH196670:QUH196671 RED196670:RED196671 RNZ196670:RNZ196671 RXV196670:RXV196671 SHR196670:SHR196671 SRN196670:SRN196671 TBJ196670:TBJ196671 TLF196670:TLF196671 TVB196670:TVB196671 UEX196670:UEX196671 UOT196670:UOT196671 UYP196670:UYP196671 VIL196670:VIL196671 VSH196670:VSH196671 WCD196670:WCD196671 WLZ196670:WLZ196671 WVV196670:WVV196671 N262206:N262207 JJ262206:JJ262207 TF262206:TF262207 ADB262206:ADB262207 AMX262206:AMX262207 AWT262206:AWT262207 BGP262206:BGP262207 BQL262206:BQL262207 CAH262206:CAH262207 CKD262206:CKD262207 CTZ262206:CTZ262207 DDV262206:DDV262207 DNR262206:DNR262207 DXN262206:DXN262207 EHJ262206:EHJ262207 ERF262206:ERF262207 FBB262206:FBB262207 FKX262206:FKX262207 FUT262206:FUT262207 GEP262206:GEP262207 GOL262206:GOL262207 GYH262206:GYH262207 HID262206:HID262207 HRZ262206:HRZ262207 IBV262206:IBV262207 ILR262206:ILR262207 IVN262206:IVN262207 JFJ262206:JFJ262207 JPF262206:JPF262207 JZB262206:JZB262207 KIX262206:KIX262207 KST262206:KST262207 LCP262206:LCP262207 LML262206:LML262207 LWH262206:LWH262207 MGD262206:MGD262207 MPZ262206:MPZ262207 MZV262206:MZV262207 NJR262206:NJR262207 NTN262206:NTN262207 ODJ262206:ODJ262207 ONF262206:ONF262207 OXB262206:OXB262207 PGX262206:PGX262207 PQT262206:PQT262207 QAP262206:QAP262207 QKL262206:QKL262207 QUH262206:QUH262207 RED262206:RED262207 RNZ262206:RNZ262207 RXV262206:RXV262207 SHR262206:SHR262207 SRN262206:SRN262207 TBJ262206:TBJ262207 TLF262206:TLF262207 TVB262206:TVB262207 UEX262206:UEX262207 UOT262206:UOT262207 UYP262206:UYP262207 VIL262206:VIL262207 VSH262206:VSH262207 WCD262206:WCD262207 WLZ262206:WLZ262207 WVV262206:WVV262207 N327742:N327743 JJ327742:JJ327743 TF327742:TF327743 ADB327742:ADB327743 AMX327742:AMX327743 AWT327742:AWT327743 BGP327742:BGP327743 BQL327742:BQL327743 CAH327742:CAH327743 CKD327742:CKD327743 CTZ327742:CTZ327743 DDV327742:DDV327743 DNR327742:DNR327743 DXN327742:DXN327743 EHJ327742:EHJ327743 ERF327742:ERF327743 FBB327742:FBB327743 FKX327742:FKX327743 FUT327742:FUT327743 GEP327742:GEP327743 GOL327742:GOL327743 GYH327742:GYH327743 HID327742:HID327743 HRZ327742:HRZ327743 IBV327742:IBV327743 ILR327742:ILR327743 IVN327742:IVN327743 JFJ327742:JFJ327743 JPF327742:JPF327743 JZB327742:JZB327743 KIX327742:KIX327743 KST327742:KST327743 LCP327742:LCP327743 LML327742:LML327743 LWH327742:LWH327743 MGD327742:MGD327743 MPZ327742:MPZ327743 MZV327742:MZV327743 NJR327742:NJR327743 NTN327742:NTN327743 ODJ327742:ODJ327743 ONF327742:ONF327743 OXB327742:OXB327743 PGX327742:PGX327743 PQT327742:PQT327743 QAP327742:QAP327743 QKL327742:QKL327743 QUH327742:QUH327743 RED327742:RED327743 RNZ327742:RNZ327743 RXV327742:RXV327743 SHR327742:SHR327743 SRN327742:SRN327743 TBJ327742:TBJ327743 TLF327742:TLF327743 TVB327742:TVB327743 UEX327742:UEX327743 UOT327742:UOT327743 UYP327742:UYP327743 VIL327742:VIL327743 VSH327742:VSH327743 WCD327742:WCD327743 WLZ327742:WLZ327743 WVV327742:WVV327743 N393278:N393279 JJ393278:JJ393279 TF393278:TF393279 ADB393278:ADB393279 AMX393278:AMX393279 AWT393278:AWT393279 BGP393278:BGP393279 BQL393278:BQL393279 CAH393278:CAH393279 CKD393278:CKD393279 CTZ393278:CTZ393279 DDV393278:DDV393279 DNR393278:DNR393279 DXN393278:DXN393279 EHJ393278:EHJ393279 ERF393278:ERF393279 FBB393278:FBB393279 FKX393278:FKX393279 FUT393278:FUT393279 GEP393278:GEP393279 GOL393278:GOL393279 GYH393278:GYH393279 HID393278:HID393279 HRZ393278:HRZ393279 IBV393278:IBV393279 ILR393278:ILR393279 IVN393278:IVN393279 JFJ393278:JFJ393279 JPF393278:JPF393279 JZB393278:JZB393279 KIX393278:KIX393279 KST393278:KST393279 LCP393278:LCP393279 LML393278:LML393279 LWH393278:LWH393279 MGD393278:MGD393279 MPZ393278:MPZ393279 MZV393278:MZV393279 NJR393278:NJR393279 NTN393278:NTN393279 ODJ393278:ODJ393279 ONF393278:ONF393279 OXB393278:OXB393279 PGX393278:PGX393279 PQT393278:PQT393279 QAP393278:QAP393279 QKL393278:QKL393279 QUH393278:QUH393279 RED393278:RED393279 RNZ393278:RNZ393279 RXV393278:RXV393279 SHR393278:SHR393279 SRN393278:SRN393279 TBJ393278:TBJ393279 TLF393278:TLF393279 TVB393278:TVB393279 UEX393278:UEX393279 UOT393278:UOT393279 UYP393278:UYP393279 VIL393278:VIL393279 VSH393278:VSH393279 WCD393278:WCD393279 WLZ393278:WLZ393279 WVV393278:WVV393279 N458814:N458815 JJ458814:JJ458815 TF458814:TF458815 ADB458814:ADB458815 AMX458814:AMX458815 AWT458814:AWT458815 BGP458814:BGP458815 BQL458814:BQL458815 CAH458814:CAH458815 CKD458814:CKD458815 CTZ458814:CTZ458815 DDV458814:DDV458815 DNR458814:DNR458815 DXN458814:DXN458815 EHJ458814:EHJ458815 ERF458814:ERF458815 FBB458814:FBB458815 FKX458814:FKX458815 FUT458814:FUT458815 GEP458814:GEP458815 GOL458814:GOL458815 GYH458814:GYH458815 HID458814:HID458815 HRZ458814:HRZ458815 IBV458814:IBV458815 ILR458814:ILR458815 IVN458814:IVN458815 JFJ458814:JFJ458815 JPF458814:JPF458815 JZB458814:JZB458815 KIX458814:KIX458815 KST458814:KST458815 LCP458814:LCP458815 LML458814:LML458815 LWH458814:LWH458815 MGD458814:MGD458815 MPZ458814:MPZ458815 MZV458814:MZV458815 NJR458814:NJR458815 NTN458814:NTN458815 ODJ458814:ODJ458815 ONF458814:ONF458815 OXB458814:OXB458815 PGX458814:PGX458815 PQT458814:PQT458815 QAP458814:QAP458815 QKL458814:QKL458815 QUH458814:QUH458815 RED458814:RED458815 RNZ458814:RNZ458815 RXV458814:RXV458815 SHR458814:SHR458815 SRN458814:SRN458815 TBJ458814:TBJ458815 TLF458814:TLF458815 TVB458814:TVB458815 UEX458814:UEX458815 UOT458814:UOT458815 UYP458814:UYP458815 VIL458814:VIL458815 VSH458814:VSH458815 WCD458814:WCD458815 WLZ458814:WLZ458815 WVV458814:WVV458815 N524350:N524351 JJ524350:JJ524351 TF524350:TF524351 ADB524350:ADB524351 AMX524350:AMX524351 AWT524350:AWT524351 BGP524350:BGP524351 BQL524350:BQL524351 CAH524350:CAH524351 CKD524350:CKD524351 CTZ524350:CTZ524351 DDV524350:DDV524351 DNR524350:DNR524351 DXN524350:DXN524351 EHJ524350:EHJ524351 ERF524350:ERF524351 FBB524350:FBB524351 FKX524350:FKX524351 FUT524350:FUT524351 GEP524350:GEP524351 GOL524350:GOL524351 GYH524350:GYH524351 HID524350:HID524351 HRZ524350:HRZ524351 IBV524350:IBV524351 ILR524350:ILR524351 IVN524350:IVN524351 JFJ524350:JFJ524351 JPF524350:JPF524351 JZB524350:JZB524351 KIX524350:KIX524351 KST524350:KST524351 LCP524350:LCP524351 LML524350:LML524351 LWH524350:LWH524351 MGD524350:MGD524351 MPZ524350:MPZ524351 MZV524350:MZV524351 NJR524350:NJR524351 NTN524350:NTN524351 ODJ524350:ODJ524351 ONF524350:ONF524351 OXB524350:OXB524351 PGX524350:PGX524351 PQT524350:PQT524351 QAP524350:QAP524351 QKL524350:QKL524351 QUH524350:QUH524351 RED524350:RED524351 RNZ524350:RNZ524351 RXV524350:RXV524351 SHR524350:SHR524351 SRN524350:SRN524351 TBJ524350:TBJ524351 TLF524350:TLF524351 TVB524350:TVB524351 UEX524350:UEX524351 UOT524350:UOT524351 UYP524350:UYP524351 VIL524350:VIL524351 VSH524350:VSH524351 WCD524350:WCD524351 WLZ524350:WLZ524351 WVV524350:WVV524351 N589886:N589887 JJ589886:JJ589887 TF589886:TF589887 ADB589886:ADB589887 AMX589886:AMX589887 AWT589886:AWT589887 BGP589886:BGP589887 BQL589886:BQL589887 CAH589886:CAH589887 CKD589886:CKD589887 CTZ589886:CTZ589887 DDV589886:DDV589887 DNR589886:DNR589887 DXN589886:DXN589887 EHJ589886:EHJ589887 ERF589886:ERF589887 FBB589886:FBB589887 FKX589886:FKX589887 FUT589886:FUT589887 GEP589886:GEP589887 GOL589886:GOL589887 GYH589886:GYH589887 HID589886:HID589887 HRZ589886:HRZ589887 IBV589886:IBV589887 ILR589886:ILR589887 IVN589886:IVN589887 JFJ589886:JFJ589887 JPF589886:JPF589887 JZB589886:JZB589887 KIX589886:KIX589887 KST589886:KST589887 LCP589886:LCP589887 LML589886:LML589887 LWH589886:LWH589887 MGD589886:MGD589887 MPZ589886:MPZ589887 MZV589886:MZV589887 NJR589886:NJR589887 NTN589886:NTN589887 ODJ589886:ODJ589887 ONF589886:ONF589887 OXB589886:OXB589887 PGX589886:PGX589887 PQT589886:PQT589887 QAP589886:QAP589887 QKL589886:QKL589887 QUH589886:QUH589887 RED589886:RED589887 RNZ589886:RNZ589887 RXV589886:RXV589887 SHR589886:SHR589887 SRN589886:SRN589887 TBJ589886:TBJ589887 TLF589886:TLF589887 TVB589886:TVB589887 UEX589886:UEX589887 UOT589886:UOT589887 UYP589886:UYP589887 VIL589886:VIL589887 VSH589886:VSH589887 WCD589886:WCD589887 WLZ589886:WLZ589887 WVV589886:WVV589887 N655422:N655423 JJ655422:JJ655423 TF655422:TF655423 ADB655422:ADB655423 AMX655422:AMX655423 AWT655422:AWT655423 BGP655422:BGP655423 BQL655422:BQL655423 CAH655422:CAH655423 CKD655422:CKD655423 CTZ655422:CTZ655423 DDV655422:DDV655423 DNR655422:DNR655423 DXN655422:DXN655423 EHJ655422:EHJ655423 ERF655422:ERF655423 FBB655422:FBB655423 FKX655422:FKX655423 FUT655422:FUT655423 GEP655422:GEP655423 GOL655422:GOL655423 GYH655422:GYH655423 HID655422:HID655423 HRZ655422:HRZ655423 IBV655422:IBV655423 ILR655422:ILR655423 IVN655422:IVN655423 JFJ655422:JFJ655423 JPF655422:JPF655423 JZB655422:JZB655423 KIX655422:KIX655423 KST655422:KST655423 LCP655422:LCP655423 LML655422:LML655423 LWH655422:LWH655423 MGD655422:MGD655423 MPZ655422:MPZ655423 MZV655422:MZV655423 NJR655422:NJR655423 NTN655422:NTN655423 ODJ655422:ODJ655423 ONF655422:ONF655423 OXB655422:OXB655423 PGX655422:PGX655423 PQT655422:PQT655423 QAP655422:QAP655423 QKL655422:QKL655423 QUH655422:QUH655423 RED655422:RED655423 RNZ655422:RNZ655423 RXV655422:RXV655423 SHR655422:SHR655423 SRN655422:SRN655423 TBJ655422:TBJ655423 TLF655422:TLF655423 TVB655422:TVB655423 UEX655422:UEX655423 UOT655422:UOT655423 UYP655422:UYP655423 VIL655422:VIL655423 VSH655422:VSH655423 WCD655422:WCD655423 WLZ655422:WLZ655423 WVV655422:WVV655423 N720958:N720959 JJ720958:JJ720959 TF720958:TF720959 ADB720958:ADB720959 AMX720958:AMX720959 AWT720958:AWT720959 BGP720958:BGP720959 BQL720958:BQL720959 CAH720958:CAH720959 CKD720958:CKD720959 CTZ720958:CTZ720959 DDV720958:DDV720959 DNR720958:DNR720959 DXN720958:DXN720959 EHJ720958:EHJ720959 ERF720958:ERF720959 FBB720958:FBB720959 FKX720958:FKX720959 FUT720958:FUT720959 GEP720958:GEP720959 GOL720958:GOL720959 GYH720958:GYH720959 HID720958:HID720959 HRZ720958:HRZ720959 IBV720958:IBV720959 ILR720958:ILR720959 IVN720958:IVN720959 JFJ720958:JFJ720959 JPF720958:JPF720959 JZB720958:JZB720959 KIX720958:KIX720959 KST720958:KST720959 LCP720958:LCP720959 LML720958:LML720959 LWH720958:LWH720959 MGD720958:MGD720959 MPZ720958:MPZ720959 MZV720958:MZV720959 NJR720958:NJR720959 NTN720958:NTN720959 ODJ720958:ODJ720959 ONF720958:ONF720959 OXB720958:OXB720959 PGX720958:PGX720959 PQT720958:PQT720959 QAP720958:QAP720959 QKL720958:QKL720959 QUH720958:QUH720959 RED720958:RED720959 RNZ720958:RNZ720959 RXV720958:RXV720959 SHR720958:SHR720959 SRN720958:SRN720959 TBJ720958:TBJ720959 TLF720958:TLF720959 TVB720958:TVB720959 UEX720958:UEX720959 UOT720958:UOT720959 UYP720958:UYP720959 VIL720958:VIL720959 VSH720958:VSH720959 WCD720958:WCD720959 WLZ720958:WLZ720959 WVV720958:WVV720959 N786494:N786495 JJ786494:JJ786495 TF786494:TF786495 ADB786494:ADB786495 AMX786494:AMX786495 AWT786494:AWT786495 BGP786494:BGP786495 BQL786494:BQL786495 CAH786494:CAH786495 CKD786494:CKD786495 CTZ786494:CTZ786495 DDV786494:DDV786495 DNR786494:DNR786495 DXN786494:DXN786495 EHJ786494:EHJ786495 ERF786494:ERF786495 FBB786494:FBB786495 FKX786494:FKX786495 FUT786494:FUT786495 GEP786494:GEP786495 GOL786494:GOL786495 GYH786494:GYH786495 HID786494:HID786495 HRZ786494:HRZ786495 IBV786494:IBV786495 ILR786494:ILR786495 IVN786494:IVN786495 JFJ786494:JFJ786495 JPF786494:JPF786495 JZB786494:JZB786495 KIX786494:KIX786495 KST786494:KST786495 LCP786494:LCP786495 LML786494:LML786495 LWH786494:LWH786495 MGD786494:MGD786495 MPZ786494:MPZ786495 MZV786494:MZV786495 NJR786494:NJR786495 NTN786494:NTN786495 ODJ786494:ODJ786495 ONF786494:ONF786495 OXB786494:OXB786495 PGX786494:PGX786495 PQT786494:PQT786495 QAP786494:QAP786495 QKL786494:QKL786495 QUH786494:QUH786495 RED786494:RED786495 RNZ786494:RNZ786495 RXV786494:RXV786495 SHR786494:SHR786495 SRN786494:SRN786495 TBJ786494:TBJ786495 TLF786494:TLF786495 TVB786494:TVB786495 UEX786494:UEX786495 UOT786494:UOT786495 UYP786494:UYP786495 VIL786494:VIL786495 VSH786494:VSH786495 WCD786494:WCD786495 WLZ786494:WLZ786495 WVV786494:WVV786495 N852030:N852031 JJ852030:JJ852031 TF852030:TF852031 ADB852030:ADB852031 AMX852030:AMX852031 AWT852030:AWT852031 BGP852030:BGP852031 BQL852030:BQL852031 CAH852030:CAH852031 CKD852030:CKD852031 CTZ852030:CTZ852031 DDV852030:DDV852031 DNR852030:DNR852031 DXN852030:DXN852031 EHJ852030:EHJ852031 ERF852030:ERF852031 FBB852030:FBB852031 FKX852030:FKX852031 FUT852030:FUT852031 GEP852030:GEP852031 GOL852030:GOL852031 GYH852030:GYH852031 HID852030:HID852031 HRZ852030:HRZ852031 IBV852030:IBV852031 ILR852030:ILR852031 IVN852030:IVN852031 JFJ852030:JFJ852031 JPF852030:JPF852031 JZB852030:JZB852031 KIX852030:KIX852031 KST852030:KST852031 LCP852030:LCP852031 LML852030:LML852031 LWH852030:LWH852031 MGD852030:MGD852031 MPZ852030:MPZ852031 MZV852030:MZV852031 NJR852030:NJR852031 NTN852030:NTN852031 ODJ852030:ODJ852031 ONF852030:ONF852031 OXB852030:OXB852031 PGX852030:PGX852031 PQT852030:PQT852031 QAP852030:QAP852031 QKL852030:QKL852031 QUH852030:QUH852031 RED852030:RED852031 RNZ852030:RNZ852031 RXV852030:RXV852031 SHR852030:SHR852031 SRN852030:SRN852031 TBJ852030:TBJ852031 TLF852030:TLF852031 TVB852030:TVB852031 UEX852030:UEX852031 UOT852030:UOT852031 UYP852030:UYP852031 VIL852030:VIL852031 VSH852030:VSH852031 WCD852030:WCD852031 WLZ852030:WLZ852031 WVV852030:WVV852031 N917566:N917567 JJ917566:JJ917567 TF917566:TF917567 ADB917566:ADB917567 AMX917566:AMX917567 AWT917566:AWT917567 BGP917566:BGP917567 BQL917566:BQL917567 CAH917566:CAH917567 CKD917566:CKD917567 CTZ917566:CTZ917567 DDV917566:DDV917567 DNR917566:DNR917567 DXN917566:DXN917567 EHJ917566:EHJ917567 ERF917566:ERF917567 FBB917566:FBB917567 FKX917566:FKX917567 FUT917566:FUT917567 GEP917566:GEP917567 GOL917566:GOL917567 GYH917566:GYH917567 HID917566:HID917567 HRZ917566:HRZ917567 IBV917566:IBV917567 ILR917566:ILR917567 IVN917566:IVN917567 JFJ917566:JFJ917567 JPF917566:JPF917567 JZB917566:JZB917567 KIX917566:KIX917567 KST917566:KST917567 LCP917566:LCP917567 LML917566:LML917567 LWH917566:LWH917567 MGD917566:MGD917567 MPZ917566:MPZ917567 MZV917566:MZV917567 NJR917566:NJR917567 NTN917566:NTN917567 ODJ917566:ODJ917567 ONF917566:ONF917567 OXB917566:OXB917567 PGX917566:PGX917567 PQT917566:PQT917567 QAP917566:QAP917567 QKL917566:QKL917567 QUH917566:QUH917567 RED917566:RED917567 RNZ917566:RNZ917567 RXV917566:RXV917567 SHR917566:SHR917567 SRN917566:SRN917567 TBJ917566:TBJ917567 TLF917566:TLF917567 TVB917566:TVB917567 UEX917566:UEX917567 UOT917566:UOT917567 UYP917566:UYP917567 VIL917566:VIL917567 VSH917566:VSH917567 WCD917566:WCD917567 WLZ917566:WLZ917567 WVV917566:WVV917567 N983102:N983103 JJ983102:JJ983103 TF983102:TF983103 ADB983102:ADB983103 AMX983102:AMX983103 AWT983102:AWT983103 BGP983102:BGP983103 BQL983102:BQL983103 CAH983102:CAH983103 CKD983102:CKD983103 CTZ983102:CTZ983103 DDV983102:DDV983103 DNR983102:DNR983103 DXN983102:DXN983103 EHJ983102:EHJ983103 ERF983102:ERF983103 FBB983102:FBB983103 FKX983102:FKX983103 FUT983102:FUT983103 GEP983102:GEP983103 GOL983102:GOL983103 GYH983102:GYH983103 HID983102:HID983103 HRZ983102:HRZ983103 IBV983102:IBV983103 ILR983102:ILR983103 IVN983102:IVN983103 JFJ983102:JFJ983103 JPF983102:JPF983103 JZB983102:JZB983103 KIX983102:KIX983103 KST983102:KST983103 LCP983102:LCP983103 LML983102:LML983103 LWH983102:LWH983103 MGD983102:MGD983103 MPZ983102:MPZ983103 MZV983102:MZV983103 NJR983102:NJR983103 NTN983102:NTN983103 ODJ983102:ODJ983103 ONF983102:ONF983103 OXB983102:OXB983103 PGX983102:PGX983103 PQT983102:PQT983103 QAP983102:QAP983103 QKL983102:QKL983103 QUH983102:QUH983103 RED983102:RED983103 RNZ983102:RNZ983103 RXV983102:RXV983103 SHR983102:SHR983103 SRN983102:SRN983103 TBJ983102:TBJ983103 TLF983102:TLF983103 TVB983102:TVB983103 UEX983102:UEX983103 UOT983102:UOT983103 UYP983102:UYP983103 VIL983102:VIL983103 VSH983102:VSH983103 WCD983102:WCD983103 WLZ983102:WLZ983103 WVV983102:WVV983103 TLF983111:TLF983113 JJ69:JJ71 TF69:TF71 ADB69:ADB71 AMX69:AMX71 AWT69:AWT71 BGP69:BGP71 BQL69:BQL71 CAH69:CAH71 CKD69:CKD71 CTZ69:CTZ71 DDV69:DDV71 DNR69:DNR71 DXN69:DXN71 EHJ69:EHJ71 ERF69:ERF71 FBB69:FBB71 FKX69:FKX71 FUT69:FUT71 GEP69:GEP71 GOL69:GOL71 GYH69:GYH71 HID69:HID71 HRZ69:HRZ71 IBV69:IBV71 ILR69:ILR71 IVN69:IVN71 JFJ69:JFJ71 JPF69:JPF71 JZB69:JZB71 KIX69:KIX71 KST69:KST71 LCP69:LCP71 LML69:LML71 LWH69:LWH71 MGD69:MGD71 MPZ69:MPZ71 MZV69:MZV71 NJR69:NJR71 NTN69:NTN71 ODJ69:ODJ71 ONF69:ONF71 OXB69:OXB71 PGX69:PGX71 PQT69:PQT71 QAP69:QAP71 QKL69:QKL71 QUH69:QUH71 RED69:RED71 RNZ69:RNZ71 RXV69:RXV71 SHR69:SHR71 SRN69:SRN71 TBJ69:TBJ71 TLF69:TLF71 TVB69:TVB71 UEX69:UEX71 UOT69:UOT71 UYP69:UYP71 VIL69:VIL71 VSH69:VSH71 WCD69:WCD71 WLZ69:WLZ71 WVV69:WVV71 N65607:N65609 JJ65607:JJ65609 TF65607:TF65609 ADB65607:ADB65609 AMX65607:AMX65609 AWT65607:AWT65609 BGP65607:BGP65609 BQL65607:BQL65609 CAH65607:CAH65609 CKD65607:CKD65609 CTZ65607:CTZ65609 DDV65607:DDV65609 DNR65607:DNR65609 DXN65607:DXN65609 EHJ65607:EHJ65609 ERF65607:ERF65609 FBB65607:FBB65609 FKX65607:FKX65609 FUT65607:FUT65609 GEP65607:GEP65609 GOL65607:GOL65609 GYH65607:GYH65609 HID65607:HID65609 HRZ65607:HRZ65609 IBV65607:IBV65609 ILR65607:ILR65609 IVN65607:IVN65609 JFJ65607:JFJ65609 JPF65607:JPF65609 JZB65607:JZB65609 KIX65607:KIX65609 KST65607:KST65609 LCP65607:LCP65609 LML65607:LML65609 LWH65607:LWH65609 MGD65607:MGD65609 MPZ65607:MPZ65609 MZV65607:MZV65609 NJR65607:NJR65609 NTN65607:NTN65609 ODJ65607:ODJ65609 ONF65607:ONF65609 OXB65607:OXB65609 PGX65607:PGX65609 PQT65607:PQT65609 QAP65607:QAP65609 QKL65607:QKL65609 QUH65607:QUH65609 RED65607:RED65609 RNZ65607:RNZ65609 RXV65607:RXV65609 SHR65607:SHR65609 SRN65607:SRN65609 TBJ65607:TBJ65609 TLF65607:TLF65609 TVB65607:TVB65609 UEX65607:UEX65609 UOT65607:UOT65609 UYP65607:UYP65609 VIL65607:VIL65609 VSH65607:VSH65609 WCD65607:WCD65609 WLZ65607:WLZ65609 WVV65607:WVV65609 N131143:N131145 JJ131143:JJ131145 TF131143:TF131145 ADB131143:ADB131145 AMX131143:AMX131145 AWT131143:AWT131145 BGP131143:BGP131145 BQL131143:BQL131145 CAH131143:CAH131145 CKD131143:CKD131145 CTZ131143:CTZ131145 DDV131143:DDV131145 DNR131143:DNR131145 DXN131143:DXN131145 EHJ131143:EHJ131145 ERF131143:ERF131145 FBB131143:FBB131145 FKX131143:FKX131145 FUT131143:FUT131145 GEP131143:GEP131145 GOL131143:GOL131145 GYH131143:GYH131145 HID131143:HID131145 HRZ131143:HRZ131145 IBV131143:IBV131145 ILR131143:ILR131145 IVN131143:IVN131145 JFJ131143:JFJ131145 JPF131143:JPF131145 JZB131143:JZB131145 KIX131143:KIX131145 KST131143:KST131145 LCP131143:LCP131145 LML131143:LML131145 LWH131143:LWH131145 MGD131143:MGD131145 MPZ131143:MPZ131145 MZV131143:MZV131145 NJR131143:NJR131145 NTN131143:NTN131145 ODJ131143:ODJ131145 ONF131143:ONF131145 OXB131143:OXB131145 PGX131143:PGX131145 PQT131143:PQT131145 QAP131143:QAP131145 QKL131143:QKL131145 QUH131143:QUH131145 RED131143:RED131145 RNZ131143:RNZ131145 RXV131143:RXV131145 SHR131143:SHR131145 SRN131143:SRN131145 TBJ131143:TBJ131145 TLF131143:TLF131145 TVB131143:TVB131145 UEX131143:UEX131145 UOT131143:UOT131145 UYP131143:UYP131145 VIL131143:VIL131145 VSH131143:VSH131145 WCD131143:WCD131145 WLZ131143:WLZ131145 WVV131143:WVV131145 N196679:N196681 JJ196679:JJ196681 TF196679:TF196681 ADB196679:ADB196681 AMX196679:AMX196681 AWT196679:AWT196681 BGP196679:BGP196681 BQL196679:BQL196681 CAH196679:CAH196681 CKD196679:CKD196681 CTZ196679:CTZ196681 DDV196679:DDV196681 DNR196679:DNR196681 DXN196679:DXN196681 EHJ196679:EHJ196681 ERF196679:ERF196681 FBB196679:FBB196681 FKX196679:FKX196681 FUT196679:FUT196681 GEP196679:GEP196681 GOL196679:GOL196681 GYH196679:GYH196681 HID196679:HID196681 HRZ196679:HRZ196681 IBV196679:IBV196681 ILR196679:ILR196681 IVN196679:IVN196681 JFJ196679:JFJ196681 JPF196679:JPF196681 JZB196679:JZB196681 KIX196679:KIX196681 KST196679:KST196681 LCP196679:LCP196681 LML196679:LML196681 LWH196679:LWH196681 MGD196679:MGD196681 MPZ196679:MPZ196681 MZV196679:MZV196681 NJR196679:NJR196681 NTN196679:NTN196681 ODJ196679:ODJ196681 ONF196679:ONF196681 OXB196679:OXB196681 PGX196679:PGX196681 PQT196679:PQT196681 QAP196679:QAP196681 QKL196679:QKL196681 QUH196679:QUH196681 RED196679:RED196681 RNZ196679:RNZ196681 RXV196679:RXV196681 SHR196679:SHR196681 SRN196679:SRN196681 TBJ196679:TBJ196681 TLF196679:TLF196681 TVB196679:TVB196681 UEX196679:UEX196681 UOT196679:UOT196681 UYP196679:UYP196681 VIL196679:VIL196681 VSH196679:VSH196681 WCD196679:WCD196681 WLZ196679:WLZ196681 WVV196679:WVV196681 N262215:N262217 JJ262215:JJ262217 TF262215:TF262217 ADB262215:ADB262217 AMX262215:AMX262217 AWT262215:AWT262217 BGP262215:BGP262217 BQL262215:BQL262217 CAH262215:CAH262217 CKD262215:CKD262217 CTZ262215:CTZ262217 DDV262215:DDV262217 DNR262215:DNR262217 DXN262215:DXN262217 EHJ262215:EHJ262217 ERF262215:ERF262217 FBB262215:FBB262217 FKX262215:FKX262217 FUT262215:FUT262217 GEP262215:GEP262217 GOL262215:GOL262217 GYH262215:GYH262217 HID262215:HID262217 HRZ262215:HRZ262217 IBV262215:IBV262217 ILR262215:ILR262217 IVN262215:IVN262217 JFJ262215:JFJ262217 JPF262215:JPF262217 JZB262215:JZB262217 KIX262215:KIX262217 KST262215:KST262217 LCP262215:LCP262217 LML262215:LML262217 LWH262215:LWH262217 MGD262215:MGD262217 MPZ262215:MPZ262217 MZV262215:MZV262217 NJR262215:NJR262217 NTN262215:NTN262217 ODJ262215:ODJ262217 ONF262215:ONF262217 OXB262215:OXB262217 PGX262215:PGX262217 PQT262215:PQT262217 QAP262215:QAP262217 QKL262215:QKL262217 QUH262215:QUH262217 RED262215:RED262217 RNZ262215:RNZ262217 RXV262215:RXV262217 SHR262215:SHR262217 SRN262215:SRN262217 TBJ262215:TBJ262217 TLF262215:TLF262217 TVB262215:TVB262217 UEX262215:UEX262217 UOT262215:UOT262217 UYP262215:UYP262217 VIL262215:VIL262217 VSH262215:VSH262217 WCD262215:WCD262217 WLZ262215:WLZ262217 WVV262215:WVV262217 N327751:N327753 JJ327751:JJ327753 TF327751:TF327753 ADB327751:ADB327753 AMX327751:AMX327753 AWT327751:AWT327753 BGP327751:BGP327753 BQL327751:BQL327753 CAH327751:CAH327753 CKD327751:CKD327753 CTZ327751:CTZ327753 DDV327751:DDV327753 DNR327751:DNR327753 DXN327751:DXN327753 EHJ327751:EHJ327753 ERF327751:ERF327753 FBB327751:FBB327753 FKX327751:FKX327753 FUT327751:FUT327753 GEP327751:GEP327753 GOL327751:GOL327753 GYH327751:GYH327753 HID327751:HID327753 HRZ327751:HRZ327753 IBV327751:IBV327753 ILR327751:ILR327753 IVN327751:IVN327753 JFJ327751:JFJ327753 JPF327751:JPF327753 JZB327751:JZB327753 KIX327751:KIX327753 KST327751:KST327753 LCP327751:LCP327753 LML327751:LML327753 LWH327751:LWH327753 MGD327751:MGD327753 MPZ327751:MPZ327753 MZV327751:MZV327753 NJR327751:NJR327753 NTN327751:NTN327753 ODJ327751:ODJ327753 ONF327751:ONF327753 OXB327751:OXB327753 PGX327751:PGX327753 PQT327751:PQT327753 QAP327751:QAP327753 QKL327751:QKL327753 QUH327751:QUH327753 RED327751:RED327753 RNZ327751:RNZ327753 RXV327751:RXV327753 SHR327751:SHR327753 SRN327751:SRN327753 TBJ327751:TBJ327753 TLF327751:TLF327753 TVB327751:TVB327753 UEX327751:UEX327753 UOT327751:UOT327753 UYP327751:UYP327753 VIL327751:VIL327753 VSH327751:VSH327753 WCD327751:WCD327753 WLZ327751:WLZ327753 WVV327751:WVV327753 N393287:N393289 JJ393287:JJ393289 TF393287:TF393289 ADB393287:ADB393289 AMX393287:AMX393289 AWT393287:AWT393289 BGP393287:BGP393289 BQL393287:BQL393289 CAH393287:CAH393289 CKD393287:CKD393289 CTZ393287:CTZ393289 DDV393287:DDV393289 DNR393287:DNR393289 DXN393287:DXN393289 EHJ393287:EHJ393289 ERF393287:ERF393289 FBB393287:FBB393289 FKX393287:FKX393289 FUT393287:FUT393289 GEP393287:GEP393289 GOL393287:GOL393289 GYH393287:GYH393289 HID393287:HID393289 HRZ393287:HRZ393289 IBV393287:IBV393289 ILR393287:ILR393289 IVN393287:IVN393289 JFJ393287:JFJ393289 JPF393287:JPF393289 JZB393287:JZB393289 KIX393287:KIX393289 KST393287:KST393289 LCP393287:LCP393289 LML393287:LML393289 LWH393287:LWH393289 MGD393287:MGD393289 MPZ393287:MPZ393289 MZV393287:MZV393289 NJR393287:NJR393289 NTN393287:NTN393289 ODJ393287:ODJ393289 ONF393287:ONF393289 OXB393287:OXB393289 PGX393287:PGX393289 PQT393287:PQT393289 QAP393287:QAP393289 QKL393287:QKL393289 QUH393287:QUH393289 RED393287:RED393289 RNZ393287:RNZ393289 RXV393287:RXV393289 SHR393287:SHR393289 SRN393287:SRN393289 TBJ393287:TBJ393289 TLF393287:TLF393289 TVB393287:TVB393289 UEX393287:UEX393289 UOT393287:UOT393289 UYP393287:UYP393289 VIL393287:VIL393289 VSH393287:VSH393289 WCD393287:WCD393289 WLZ393287:WLZ393289 WVV393287:WVV393289 N458823:N458825 JJ458823:JJ458825 TF458823:TF458825 ADB458823:ADB458825 AMX458823:AMX458825 AWT458823:AWT458825 BGP458823:BGP458825 BQL458823:BQL458825 CAH458823:CAH458825 CKD458823:CKD458825 CTZ458823:CTZ458825 DDV458823:DDV458825 DNR458823:DNR458825 DXN458823:DXN458825 EHJ458823:EHJ458825 ERF458823:ERF458825 FBB458823:FBB458825 FKX458823:FKX458825 FUT458823:FUT458825 GEP458823:GEP458825 GOL458823:GOL458825 GYH458823:GYH458825 HID458823:HID458825 HRZ458823:HRZ458825 IBV458823:IBV458825 ILR458823:ILR458825 IVN458823:IVN458825 JFJ458823:JFJ458825 JPF458823:JPF458825 JZB458823:JZB458825 KIX458823:KIX458825 KST458823:KST458825 LCP458823:LCP458825 LML458823:LML458825 LWH458823:LWH458825 MGD458823:MGD458825 MPZ458823:MPZ458825 MZV458823:MZV458825 NJR458823:NJR458825 NTN458823:NTN458825 ODJ458823:ODJ458825 ONF458823:ONF458825 OXB458823:OXB458825 PGX458823:PGX458825 PQT458823:PQT458825 QAP458823:QAP458825 QKL458823:QKL458825 QUH458823:QUH458825 RED458823:RED458825 RNZ458823:RNZ458825 RXV458823:RXV458825 SHR458823:SHR458825 SRN458823:SRN458825 TBJ458823:TBJ458825 TLF458823:TLF458825 TVB458823:TVB458825 UEX458823:UEX458825 UOT458823:UOT458825 UYP458823:UYP458825 VIL458823:VIL458825 VSH458823:VSH458825 WCD458823:WCD458825 WLZ458823:WLZ458825 WVV458823:WVV458825 N524359:N524361 JJ524359:JJ524361 TF524359:TF524361 ADB524359:ADB524361 AMX524359:AMX524361 AWT524359:AWT524361 BGP524359:BGP524361 BQL524359:BQL524361 CAH524359:CAH524361 CKD524359:CKD524361 CTZ524359:CTZ524361 DDV524359:DDV524361 DNR524359:DNR524361 DXN524359:DXN524361 EHJ524359:EHJ524361 ERF524359:ERF524361 FBB524359:FBB524361 FKX524359:FKX524361 FUT524359:FUT524361 GEP524359:GEP524361 GOL524359:GOL524361 GYH524359:GYH524361 HID524359:HID524361 HRZ524359:HRZ524361 IBV524359:IBV524361 ILR524359:ILR524361 IVN524359:IVN524361 JFJ524359:JFJ524361 JPF524359:JPF524361 JZB524359:JZB524361 KIX524359:KIX524361 KST524359:KST524361 LCP524359:LCP524361 LML524359:LML524361 LWH524359:LWH524361 MGD524359:MGD524361 MPZ524359:MPZ524361 MZV524359:MZV524361 NJR524359:NJR524361 NTN524359:NTN524361 ODJ524359:ODJ524361 ONF524359:ONF524361 OXB524359:OXB524361 PGX524359:PGX524361 PQT524359:PQT524361 QAP524359:QAP524361 QKL524359:QKL524361 QUH524359:QUH524361 RED524359:RED524361 RNZ524359:RNZ524361 RXV524359:RXV524361 SHR524359:SHR524361 SRN524359:SRN524361 TBJ524359:TBJ524361 TLF524359:TLF524361 TVB524359:TVB524361 UEX524359:UEX524361 UOT524359:UOT524361 UYP524359:UYP524361 VIL524359:VIL524361 VSH524359:VSH524361 WCD524359:WCD524361 WLZ524359:WLZ524361 WVV524359:WVV524361 N589895:N589897 JJ589895:JJ589897 TF589895:TF589897 ADB589895:ADB589897 AMX589895:AMX589897 AWT589895:AWT589897 BGP589895:BGP589897 BQL589895:BQL589897 CAH589895:CAH589897 CKD589895:CKD589897 CTZ589895:CTZ589897 DDV589895:DDV589897 DNR589895:DNR589897 DXN589895:DXN589897 EHJ589895:EHJ589897 ERF589895:ERF589897 FBB589895:FBB589897 FKX589895:FKX589897 FUT589895:FUT589897 GEP589895:GEP589897 GOL589895:GOL589897 GYH589895:GYH589897 HID589895:HID589897 HRZ589895:HRZ589897 IBV589895:IBV589897 ILR589895:ILR589897 IVN589895:IVN589897 JFJ589895:JFJ589897 JPF589895:JPF589897 JZB589895:JZB589897 KIX589895:KIX589897 KST589895:KST589897 LCP589895:LCP589897 LML589895:LML589897 LWH589895:LWH589897 MGD589895:MGD589897 MPZ589895:MPZ589897 MZV589895:MZV589897 NJR589895:NJR589897 NTN589895:NTN589897 ODJ589895:ODJ589897 ONF589895:ONF589897 OXB589895:OXB589897 PGX589895:PGX589897 PQT589895:PQT589897 QAP589895:QAP589897 QKL589895:QKL589897 QUH589895:QUH589897 RED589895:RED589897 RNZ589895:RNZ589897 RXV589895:RXV589897 SHR589895:SHR589897 SRN589895:SRN589897 TBJ589895:TBJ589897 TLF589895:TLF589897 TVB589895:TVB589897 UEX589895:UEX589897 UOT589895:UOT589897 UYP589895:UYP589897 VIL589895:VIL589897 VSH589895:VSH589897 WCD589895:WCD589897 WLZ589895:WLZ589897 WVV589895:WVV589897 N655431:N655433 JJ655431:JJ655433 TF655431:TF655433 ADB655431:ADB655433 AMX655431:AMX655433 AWT655431:AWT655433 BGP655431:BGP655433 BQL655431:BQL655433 CAH655431:CAH655433 CKD655431:CKD655433 CTZ655431:CTZ655433 DDV655431:DDV655433 DNR655431:DNR655433 DXN655431:DXN655433 EHJ655431:EHJ655433 ERF655431:ERF655433 FBB655431:FBB655433 FKX655431:FKX655433 FUT655431:FUT655433 GEP655431:GEP655433 GOL655431:GOL655433 GYH655431:GYH655433 HID655431:HID655433 HRZ655431:HRZ655433 IBV655431:IBV655433 ILR655431:ILR655433 IVN655431:IVN655433 JFJ655431:JFJ655433 JPF655431:JPF655433 JZB655431:JZB655433 KIX655431:KIX655433 KST655431:KST655433 LCP655431:LCP655433 LML655431:LML655433 LWH655431:LWH655433 MGD655431:MGD655433 MPZ655431:MPZ655433 MZV655431:MZV655433 NJR655431:NJR655433 NTN655431:NTN655433 ODJ655431:ODJ655433 ONF655431:ONF655433 OXB655431:OXB655433 PGX655431:PGX655433 PQT655431:PQT655433 QAP655431:QAP655433 QKL655431:QKL655433 QUH655431:QUH655433 RED655431:RED655433 RNZ655431:RNZ655433 RXV655431:RXV655433 SHR655431:SHR655433 SRN655431:SRN655433 TBJ655431:TBJ655433 TLF655431:TLF655433 TVB655431:TVB655433 UEX655431:UEX655433 UOT655431:UOT655433 UYP655431:UYP655433 VIL655431:VIL655433 VSH655431:VSH655433 WCD655431:WCD655433 WLZ655431:WLZ655433 WVV655431:WVV655433 N720967:N720969 JJ720967:JJ720969 TF720967:TF720969 ADB720967:ADB720969 AMX720967:AMX720969 AWT720967:AWT720969 BGP720967:BGP720969 BQL720967:BQL720969 CAH720967:CAH720969 CKD720967:CKD720969 CTZ720967:CTZ720969 DDV720967:DDV720969 DNR720967:DNR720969 DXN720967:DXN720969 EHJ720967:EHJ720969 ERF720967:ERF720969 FBB720967:FBB720969 FKX720967:FKX720969 FUT720967:FUT720969 GEP720967:GEP720969 GOL720967:GOL720969 GYH720967:GYH720969 HID720967:HID720969 HRZ720967:HRZ720969 IBV720967:IBV720969 ILR720967:ILR720969 IVN720967:IVN720969 JFJ720967:JFJ720969 JPF720967:JPF720969 JZB720967:JZB720969 KIX720967:KIX720969 KST720967:KST720969 LCP720967:LCP720969 LML720967:LML720969 LWH720967:LWH720969 MGD720967:MGD720969 MPZ720967:MPZ720969 MZV720967:MZV720969 NJR720967:NJR720969 NTN720967:NTN720969 ODJ720967:ODJ720969 ONF720967:ONF720969 OXB720967:OXB720969 PGX720967:PGX720969 PQT720967:PQT720969 QAP720967:QAP720969 QKL720967:QKL720969 QUH720967:QUH720969 RED720967:RED720969 RNZ720967:RNZ720969 RXV720967:RXV720969 SHR720967:SHR720969 SRN720967:SRN720969 TBJ720967:TBJ720969 TLF720967:TLF720969 TVB720967:TVB720969 UEX720967:UEX720969 UOT720967:UOT720969 UYP720967:UYP720969 VIL720967:VIL720969 VSH720967:VSH720969 WCD720967:WCD720969 WLZ720967:WLZ720969 WVV720967:WVV720969 N786503:N786505 JJ786503:JJ786505 TF786503:TF786505 ADB786503:ADB786505 AMX786503:AMX786505 AWT786503:AWT786505 BGP786503:BGP786505 BQL786503:BQL786505 CAH786503:CAH786505 CKD786503:CKD786505 CTZ786503:CTZ786505 DDV786503:DDV786505 DNR786503:DNR786505 DXN786503:DXN786505 EHJ786503:EHJ786505 ERF786503:ERF786505 FBB786503:FBB786505 FKX786503:FKX786505 FUT786503:FUT786505 GEP786503:GEP786505 GOL786503:GOL786505 GYH786503:GYH786505 HID786503:HID786505 HRZ786503:HRZ786505 IBV786503:IBV786505 ILR786503:ILR786505 IVN786503:IVN786505 JFJ786503:JFJ786505 JPF786503:JPF786505 JZB786503:JZB786505 KIX786503:KIX786505 KST786503:KST786505 LCP786503:LCP786505 LML786503:LML786505 LWH786503:LWH786505 MGD786503:MGD786505 MPZ786503:MPZ786505 MZV786503:MZV786505 NJR786503:NJR786505 NTN786503:NTN786505 ODJ786503:ODJ786505 ONF786503:ONF786505 OXB786503:OXB786505 PGX786503:PGX786505 PQT786503:PQT786505 QAP786503:QAP786505 QKL786503:QKL786505 QUH786503:QUH786505 RED786503:RED786505 RNZ786503:RNZ786505 RXV786503:RXV786505 SHR786503:SHR786505 SRN786503:SRN786505 TBJ786503:TBJ786505 TLF786503:TLF786505 TVB786503:TVB786505 UEX786503:UEX786505 UOT786503:UOT786505 UYP786503:UYP786505 VIL786503:VIL786505 VSH786503:VSH786505 WCD786503:WCD786505 WLZ786503:WLZ786505 WVV786503:WVV786505 N852039:N852041 JJ852039:JJ852041 TF852039:TF852041 ADB852039:ADB852041 AMX852039:AMX852041 AWT852039:AWT852041 BGP852039:BGP852041 BQL852039:BQL852041 CAH852039:CAH852041 CKD852039:CKD852041 CTZ852039:CTZ852041 DDV852039:DDV852041 DNR852039:DNR852041 DXN852039:DXN852041 EHJ852039:EHJ852041 ERF852039:ERF852041 FBB852039:FBB852041 FKX852039:FKX852041 FUT852039:FUT852041 GEP852039:GEP852041 GOL852039:GOL852041 GYH852039:GYH852041 HID852039:HID852041 HRZ852039:HRZ852041 IBV852039:IBV852041 ILR852039:ILR852041 IVN852039:IVN852041 JFJ852039:JFJ852041 JPF852039:JPF852041 JZB852039:JZB852041 KIX852039:KIX852041 KST852039:KST852041 LCP852039:LCP852041 LML852039:LML852041 LWH852039:LWH852041 MGD852039:MGD852041 MPZ852039:MPZ852041 MZV852039:MZV852041 NJR852039:NJR852041 NTN852039:NTN852041 ODJ852039:ODJ852041 ONF852039:ONF852041 OXB852039:OXB852041 PGX852039:PGX852041 PQT852039:PQT852041 QAP852039:QAP852041 QKL852039:QKL852041 QUH852039:QUH852041 RED852039:RED852041 RNZ852039:RNZ852041 RXV852039:RXV852041 SHR852039:SHR852041 SRN852039:SRN852041 TBJ852039:TBJ852041 TLF852039:TLF852041 TVB852039:TVB852041 UEX852039:UEX852041 UOT852039:UOT852041 UYP852039:UYP852041 VIL852039:VIL852041 VSH852039:VSH852041 WCD852039:WCD852041 WLZ852039:WLZ852041 WVV852039:WVV852041 N917575:N917577 JJ917575:JJ917577 TF917575:TF917577 ADB917575:ADB917577 AMX917575:AMX917577 AWT917575:AWT917577 BGP917575:BGP917577 BQL917575:BQL917577 CAH917575:CAH917577 CKD917575:CKD917577 CTZ917575:CTZ917577 DDV917575:DDV917577 DNR917575:DNR917577 DXN917575:DXN917577 EHJ917575:EHJ917577 ERF917575:ERF917577 FBB917575:FBB917577 FKX917575:FKX917577 FUT917575:FUT917577 GEP917575:GEP917577 GOL917575:GOL917577 GYH917575:GYH917577 HID917575:HID917577 HRZ917575:HRZ917577 IBV917575:IBV917577 ILR917575:ILR917577 IVN917575:IVN917577 JFJ917575:JFJ917577 JPF917575:JPF917577 JZB917575:JZB917577 KIX917575:KIX917577 KST917575:KST917577 LCP917575:LCP917577 LML917575:LML917577 LWH917575:LWH917577 MGD917575:MGD917577 MPZ917575:MPZ917577 MZV917575:MZV917577 NJR917575:NJR917577 NTN917575:NTN917577 ODJ917575:ODJ917577 ONF917575:ONF917577 OXB917575:OXB917577 PGX917575:PGX917577 PQT917575:PQT917577 QAP917575:QAP917577 QKL917575:QKL917577 QUH917575:QUH917577 RED917575:RED917577 RNZ917575:RNZ917577 RXV917575:RXV917577 SHR917575:SHR917577 SRN917575:SRN917577 TBJ917575:TBJ917577 TLF917575:TLF917577 TVB917575:TVB917577 UEX917575:UEX917577 UOT917575:UOT917577 UYP917575:UYP917577 VIL917575:VIL917577 VSH917575:VSH917577 WCD917575:WCD917577 WLZ917575:WLZ917577 WVV917575:WVV917577 N983111:N983113 JJ983111:JJ983113 TF983111:TF983113 ADB983111:ADB983113 AMX983111:AMX983113 AWT983111:AWT983113 BGP983111:BGP983113 BQL983111:BQL983113 CAH983111:CAH983113 CKD983111:CKD983113 CTZ983111:CTZ983113 DDV983111:DDV983113 DNR983111:DNR983113 DXN983111:DXN983113 EHJ983111:EHJ983113 ERF983111:ERF983113 FBB983111:FBB983113 FKX983111:FKX983113 FUT983111:FUT983113 GEP983111:GEP983113 GOL983111:GOL983113 GYH983111:GYH983113 HID983111:HID983113 HRZ983111:HRZ983113 IBV983111:IBV983113 ILR983111:ILR983113 IVN983111:IVN983113 JFJ983111:JFJ983113 JPF983111:JPF983113 JZB983111:JZB983113 KIX983111:KIX983113 KST983111:KST983113 LCP983111:LCP983113 LML983111:LML983113 LWH983111:LWH983113 MGD983111:MGD983113 MPZ983111:MPZ983113 MZV983111:MZV983113 NJR983111:NJR983113 NTN983111:NTN983113 ODJ983111:ODJ983113 ONF983111:ONF983113 OXB983111:OXB983113 PGX983111:PGX983113 PQT983111:PQT983113 QAP983111:QAP983113 QKL983111:QKL983113 QUH983111:QUH983113 RED983111:RED983113 RNZ983111:RNZ983113 RXV983111:RXV983113 SHR983111:SHR983113 SRN983111:SRN983113 TBJ983111:TBJ983113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BO196"/>
  <sheetViews>
    <sheetView showGridLines="0" topLeftCell="A119" zoomScaleNormal="100" workbookViewId="0">
      <selection activeCell="M14" sqref="M14"/>
    </sheetView>
  </sheetViews>
  <sheetFormatPr defaultColWidth="0" defaultRowHeight="13.5" zeroHeight="1"/>
  <cols>
    <col min="1" max="1" width="1.75" customWidth="1"/>
    <col min="2" max="2" width="4" customWidth="1"/>
    <col min="3" max="3" width="5.125" customWidth="1"/>
    <col min="4" max="4" width="5.375" customWidth="1"/>
    <col min="5" max="6" width="12.625" customWidth="1"/>
    <col min="7" max="8" width="4.75" style="2445" hidden="1" customWidth="1"/>
    <col min="9" max="9" width="6.25" style="2446" customWidth="1"/>
    <col min="10" max="10" width="11.25" style="2447" customWidth="1"/>
    <col min="11" max="11" width="10.375" customWidth="1"/>
    <col min="12" max="12" width="6.875" customWidth="1"/>
    <col min="13" max="13" width="5.875" customWidth="1"/>
    <col min="14" max="14" width="8.75" customWidth="1"/>
    <col min="15" max="15" width="6.75" customWidth="1"/>
    <col min="16" max="16" width="6.875" style="2445" hidden="1" customWidth="1"/>
    <col min="17" max="18" width="6.625" customWidth="1"/>
    <col min="19" max="19" width="6.625" style="2445" hidden="1" customWidth="1"/>
    <col min="20" max="20" width="6.25" customWidth="1"/>
    <col min="21" max="21" width="6.625" customWidth="1"/>
    <col min="22" max="22" width="7" customWidth="1"/>
    <col min="23" max="23" width="1.5" customWidth="1"/>
    <col min="24" max="37" width="6.375" hidden="1" customWidth="1"/>
    <col min="38" max="46" width="6.625" hidden="1" customWidth="1"/>
    <col min="47" max="47" width="7.5" hidden="1" customWidth="1"/>
    <col min="48" max="50" width="9" hidden="1" customWidth="1"/>
    <col min="51" max="51" width="9" style="2359" hidden="1" customWidth="1"/>
    <col min="52" max="52" width="2.75" style="2359" hidden="1" customWidth="1"/>
    <col min="53" max="53" width="6.75" style="2359" hidden="1" customWidth="1"/>
    <col min="54" max="16384" width="9" hidden="1"/>
  </cols>
  <sheetData>
    <row r="1" spans="2:67" ht="6" customHeight="1" thickBot="1"/>
    <row r="2" spans="2:67" ht="17.25">
      <c r="B2" s="541" t="str">
        <f>メイン!C6</f>
        <v>CASBEE-京都-建築(新築)2018年版</v>
      </c>
      <c r="C2" s="542"/>
      <c r="D2" s="543"/>
      <c r="E2" s="544"/>
      <c r="F2" s="545"/>
      <c r="I2" s="546"/>
      <c r="J2" s="546"/>
      <c r="K2" s="547"/>
      <c r="L2" s="547"/>
      <c r="O2" s="1081" t="s">
        <v>1770</v>
      </c>
      <c r="P2" s="1081"/>
      <c r="Q2" s="1081"/>
      <c r="R2" s="188" t="str">
        <f>メイン!C6</f>
        <v>CASBEE-京都-建築(新築)2018年版</v>
      </c>
      <c r="S2" s="188"/>
      <c r="U2" s="548"/>
      <c r="V2" s="548"/>
      <c r="W2" s="549"/>
      <c r="X2" s="549"/>
      <c r="Y2" s="549"/>
      <c r="AA2" s="2389"/>
      <c r="AB2" s="2389"/>
      <c r="AR2" s="1081" t="s">
        <v>1770</v>
      </c>
      <c r="AT2" s="1081"/>
      <c r="AU2" s="188" t="str">
        <f>メイン!C6</f>
        <v>CASBEE-京都-建築(新築)2018年版</v>
      </c>
      <c r="AV2" s="188"/>
      <c r="BB2" s="1889" t="s">
        <v>356</v>
      </c>
      <c r="BC2" s="1889" t="s">
        <v>358</v>
      </c>
      <c r="BD2" s="1889" t="s">
        <v>360</v>
      </c>
      <c r="BE2" s="1889" t="s">
        <v>362</v>
      </c>
      <c r="BF2" s="1889" t="s">
        <v>366</v>
      </c>
      <c r="BG2" s="1889" t="s">
        <v>368</v>
      </c>
      <c r="BH2" s="1889" t="s">
        <v>370</v>
      </c>
      <c r="BI2" s="1890" t="s">
        <v>1617</v>
      </c>
      <c r="BJ2" s="1889" t="s">
        <v>372</v>
      </c>
      <c r="BK2" s="1889" t="s">
        <v>358</v>
      </c>
    </row>
    <row r="3" spans="2:67" ht="14.25" customHeight="1" thickBot="1">
      <c r="B3" s="3650" t="str">
        <f>メイン!$C$11</f>
        <v>○○ビル</v>
      </c>
      <c r="C3" s="3651"/>
      <c r="D3" s="3651"/>
      <c r="E3" s="3651"/>
      <c r="F3" s="3652"/>
      <c r="I3" s="2448"/>
      <c r="J3" s="2449"/>
      <c r="K3" s="550"/>
      <c r="L3" s="551" t="s">
        <v>2122</v>
      </c>
      <c r="N3" s="547"/>
      <c r="O3" s="1081" t="s">
        <v>2123</v>
      </c>
      <c r="P3" s="1081"/>
      <c r="Q3" s="2409"/>
      <c r="R3" s="552" t="str">
        <f>メイン!C5</f>
        <v>CASBEE京都-新築2018（v.1.0）</v>
      </c>
      <c r="S3" s="552"/>
      <c r="U3" s="553"/>
      <c r="V3" s="553"/>
      <c r="W3" s="554"/>
      <c r="X3" s="554"/>
      <c r="Y3" s="554"/>
      <c r="AA3" s="1">
        <f>メイン!I3</f>
        <v>2</v>
      </c>
      <c r="AB3" s="1" t="str">
        <f>メイン!J3</f>
        <v>NC</v>
      </c>
      <c r="AR3" s="1081" t="s">
        <v>2123</v>
      </c>
      <c r="AT3" s="2409"/>
      <c r="AU3" s="552" t="str">
        <f>メイン!C5</f>
        <v>CASBEE京都-新築2018（v.1.0）</v>
      </c>
      <c r="AV3" s="552"/>
      <c r="BB3" s="2368">
        <f>重み!S7</f>
        <v>0.98425196850393704</v>
      </c>
      <c r="BC3" s="2368">
        <f>重み!T7</f>
        <v>0</v>
      </c>
      <c r="BD3" s="2368">
        <f>重み!U7</f>
        <v>0</v>
      </c>
      <c r="BE3" s="2368">
        <f>重み!V7</f>
        <v>0</v>
      </c>
      <c r="BF3" s="2368">
        <f>重み!W7</f>
        <v>0</v>
      </c>
      <c r="BG3" s="2368">
        <f>重み!X7</f>
        <v>0</v>
      </c>
      <c r="BH3" s="2368">
        <f>重み!Y7</f>
        <v>1.5748031496062992E-2</v>
      </c>
      <c r="BI3" s="2368">
        <f>重み!Z7</f>
        <v>0</v>
      </c>
      <c r="BJ3" s="2368">
        <f>重み!AA7</f>
        <v>0</v>
      </c>
      <c r="BK3" s="2368">
        <f>重み!AB7</f>
        <v>0</v>
      </c>
    </row>
    <row r="4" spans="2:67" ht="3.75" customHeight="1" thickBot="1">
      <c r="B4" s="555"/>
      <c r="C4" s="556"/>
      <c r="D4" s="557"/>
      <c r="E4" s="558"/>
      <c r="F4" s="558"/>
      <c r="I4" s="558"/>
      <c r="J4" s="2450"/>
      <c r="K4" s="558"/>
      <c r="L4" s="558"/>
      <c r="M4" s="558"/>
      <c r="N4" s="558"/>
      <c r="O4" s="559"/>
      <c r="P4" s="559"/>
      <c r="Q4" s="559"/>
      <c r="R4" s="558"/>
      <c r="S4" s="558"/>
      <c r="T4" s="558"/>
      <c r="U4" s="558"/>
      <c r="V4" s="560"/>
      <c r="W4" s="554"/>
      <c r="X4" s="554"/>
      <c r="Y4" s="554"/>
      <c r="BB4" s="554"/>
      <c r="BC4" s="554"/>
      <c r="BD4" s="554"/>
      <c r="BE4" s="554"/>
      <c r="BF4" s="554"/>
      <c r="BG4" s="554"/>
      <c r="BH4" s="554"/>
      <c r="BI4" s="554"/>
      <c r="BJ4" s="554"/>
      <c r="BK4" s="554"/>
    </row>
    <row r="5" spans="2:67" ht="17.25" customHeight="1" thickBot="1">
      <c r="B5" s="468" t="s">
        <v>2124</v>
      </c>
      <c r="C5" s="561"/>
      <c r="D5" s="562"/>
      <c r="E5" s="3618" t="str">
        <f>IF(メイン!E39=0,"",メイン!E39)</f>
        <v>実施設計段階</v>
      </c>
      <c r="F5" s="3619"/>
      <c r="G5" s="3297"/>
      <c r="H5" s="2451"/>
      <c r="I5" s="2451"/>
      <c r="J5" s="2452"/>
      <c r="K5" s="563"/>
      <c r="L5" s="563"/>
      <c r="M5" s="563"/>
      <c r="N5" s="563"/>
      <c r="O5" s="563"/>
      <c r="P5" s="564"/>
      <c r="Q5" s="564"/>
      <c r="R5" s="564"/>
      <c r="S5" s="564"/>
      <c r="T5" s="564"/>
      <c r="U5" s="564"/>
      <c r="V5" s="565"/>
      <c r="W5" s="554"/>
      <c r="X5" s="3620" t="s">
        <v>2407</v>
      </c>
      <c r="Y5" s="3621"/>
      <c r="AA5" s="566"/>
      <c r="AB5" s="554"/>
      <c r="AC5" s="566"/>
      <c r="AD5" s="554"/>
      <c r="AE5" s="554"/>
      <c r="AF5" s="554"/>
      <c r="AG5" s="567" t="s">
        <v>2125</v>
      </c>
      <c r="AH5" s="568"/>
      <c r="AI5" s="567" t="s">
        <v>2126</v>
      </c>
      <c r="AK5" s="2360" t="s">
        <v>2426</v>
      </c>
      <c r="AL5" s="563"/>
      <c r="AM5" s="563"/>
      <c r="AN5" s="563"/>
      <c r="AO5" s="563"/>
      <c r="AP5" s="2361" t="s">
        <v>3353</v>
      </c>
      <c r="AQ5" s="2361"/>
      <c r="AR5" s="563"/>
      <c r="AS5" s="563"/>
      <c r="AT5" s="563"/>
      <c r="AU5" s="564"/>
      <c r="AV5" s="564"/>
      <c r="AW5" s="565"/>
      <c r="BB5" s="554"/>
      <c r="BC5" s="554"/>
      <c r="BD5" s="554"/>
      <c r="BE5" s="554"/>
      <c r="BF5" s="554"/>
      <c r="BG5" s="554"/>
      <c r="BH5" s="554"/>
      <c r="BI5" s="554"/>
      <c r="BJ5" s="554"/>
      <c r="BK5" s="554"/>
    </row>
    <row r="6" spans="2:67" ht="12.75" customHeight="1" thickBot="1">
      <c r="B6" s="569"/>
      <c r="C6" s="570"/>
      <c r="D6" s="571"/>
      <c r="E6" s="572"/>
      <c r="F6" s="573"/>
      <c r="G6" s="3634" t="s">
        <v>4079</v>
      </c>
      <c r="H6" s="3635"/>
      <c r="I6" s="3630" t="s">
        <v>2515</v>
      </c>
      <c r="J6" s="3632" t="s">
        <v>2516</v>
      </c>
      <c r="K6" s="574"/>
      <c r="L6" s="575"/>
      <c r="M6" s="575"/>
      <c r="N6" s="575"/>
      <c r="O6" s="575"/>
      <c r="P6" s="576" t="s">
        <v>2125</v>
      </c>
      <c r="Q6" s="1009" t="s">
        <v>4160</v>
      </c>
      <c r="R6" s="3383"/>
      <c r="S6" s="576" t="s">
        <v>2126</v>
      </c>
      <c r="T6" s="3384" t="s">
        <v>4161</v>
      </c>
      <c r="U6" s="577"/>
      <c r="V6" s="578"/>
      <c r="W6" s="554"/>
      <c r="X6" s="3622"/>
      <c r="Y6" s="3623"/>
      <c r="AA6" s="579" t="s">
        <v>2127</v>
      </c>
      <c r="AB6" s="580"/>
      <c r="AC6" s="581" t="s">
        <v>2128</v>
      </c>
      <c r="AD6" s="580"/>
      <c r="AE6" s="580"/>
      <c r="AF6" s="554"/>
      <c r="AG6" s="582">
        <f>重み!D7</f>
        <v>0.98523622047244097</v>
      </c>
      <c r="AH6" s="568"/>
      <c r="AI6" s="582">
        <f>重み!E7</f>
        <v>1.4763779527559055E-2</v>
      </c>
      <c r="AK6" s="2406" t="s">
        <v>2427</v>
      </c>
      <c r="AL6" s="2406" t="s">
        <v>2428</v>
      </c>
      <c r="AM6" s="2406" t="s">
        <v>2429</v>
      </c>
      <c r="AN6" s="2406" t="s">
        <v>2430</v>
      </c>
      <c r="AO6" s="2406" t="s">
        <v>2431</v>
      </c>
      <c r="AP6" s="2406" t="s">
        <v>2432</v>
      </c>
      <c r="AQ6" s="2408" t="s">
        <v>2437</v>
      </c>
      <c r="AR6" s="2406" t="s">
        <v>2433</v>
      </c>
      <c r="AS6" s="2406" t="s">
        <v>262</v>
      </c>
      <c r="AT6" s="2407" t="s">
        <v>2434</v>
      </c>
      <c r="AU6" s="2373" t="s">
        <v>2125</v>
      </c>
      <c r="AV6" s="2374"/>
      <c r="AW6" s="578"/>
      <c r="AY6" s="2244" t="s">
        <v>2435</v>
      </c>
      <c r="BB6" s="2368" t="str">
        <f t="shared" ref="BB6:BK6" si="0">AK6</f>
        <v>事務所</v>
      </c>
      <c r="BC6" s="2368" t="str">
        <f t="shared" si="0"/>
        <v>学校</v>
      </c>
      <c r="BD6" s="2368" t="str">
        <f t="shared" si="0"/>
        <v>物販店</v>
      </c>
      <c r="BE6" s="2368" t="str">
        <f t="shared" si="0"/>
        <v>飲食店</v>
      </c>
      <c r="BF6" s="2368" t="str">
        <f t="shared" si="0"/>
        <v>集会所</v>
      </c>
      <c r="BG6" s="2368" t="str">
        <f t="shared" si="0"/>
        <v>工場</v>
      </c>
      <c r="BH6" s="2368" t="str">
        <f t="shared" si="0"/>
        <v>学校
(小中高)</v>
      </c>
      <c r="BI6" s="2368" t="str">
        <f t="shared" si="0"/>
        <v>病院</v>
      </c>
      <c r="BJ6" s="2368" t="str">
        <f t="shared" si="0"/>
        <v>ホテル</v>
      </c>
      <c r="BK6" s="2368" t="str">
        <f t="shared" si="0"/>
        <v>集合住宅</v>
      </c>
    </row>
    <row r="7" spans="2:67" ht="38.25" customHeight="1" thickBot="1">
      <c r="B7" s="2393" t="s">
        <v>1567</v>
      </c>
      <c r="C7" s="2394"/>
      <c r="D7" s="2395"/>
      <c r="E7" s="2396"/>
      <c r="F7" s="2397"/>
      <c r="G7" s="3299" t="s">
        <v>4080</v>
      </c>
      <c r="H7" s="3299" t="s">
        <v>4081</v>
      </c>
      <c r="I7" s="3631"/>
      <c r="J7" s="3633"/>
      <c r="K7" s="583" t="s">
        <v>1568</v>
      </c>
      <c r="L7" s="584"/>
      <c r="M7" s="584"/>
      <c r="N7" s="584"/>
      <c r="O7" s="585"/>
      <c r="P7" s="584" t="s">
        <v>3354</v>
      </c>
      <c r="Q7" s="586" t="s">
        <v>1758</v>
      </c>
      <c r="R7" s="587" t="s">
        <v>1759</v>
      </c>
      <c r="S7" s="2917" t="s">
        <v>3354</v>
      </c>
      <c r="T7" s="588" t="s">
        <v>1758</v>
      </c>
      <c r="U7" s="589" t="s">
        <v>1759</v>
      </c>
      <c r="V7" s="590" t="s">
        <v>1569</v>
      </c>
      <c r="W7" s="554"/>
      <c r="X7" s="591" t="s">
        <v>2127</v>
      </c>
      <c r="Y7" s="591" t="s">
        <v>2128</v>
      </c>
      <c r="AA7" s="592" t="s">
        <v>2407</v>
      </c>
      <c r="AB7" s="593" t="s">
        <v>1759</v>
      </c>
      <c r="AC7" s="592" t="s">
        <v>2407</v>
      </c>
      <c r="AD7" s="593" t="s">
        <v>1759</v>
      </c>
      <c r="AE7" s="594" t="s">
        <v>1760</v>
      </c>
      <c r="AF7" s="554"/>
      <c r="AG7" s="582" t="s">
        <v>1570</v>
      </c>
      <c r="AH7" s="568"/>
      <c r="AI7" s="582" t="s">
        <v>1570</v>
      </c>
      <c r="AK7" s="2362">
        <f>BB7</f>
        <v>0.98425196850393704</v>
      </c>
      <c r="AL7" s="2362">
        <f t="shared" ref="AL7:AT7" si="1">BC7</f>
        <v>0</v>
      </c>
      <c r="AM7" s="2362">
        <f t="shared" si="1"/>
        <v>0</v>
      </c>
      <c r="AN7" s="2362">
        <f t="shared" si="1"/>
        <v>0</v>
      </c>
      <c r="AO7" s="2362">
        <f t="shared" si="1"/>
        <v>0</v>
      </c>
      <c r="AP7" s="2362">
        <f t="shared" si="1"/>
        <v>0</v>
      </c>
      <c r="AQ7" s="2362">
        <f t="shared" si="1"/>
        <v>0</v>
      </c>
      <c r="AR7" s="2362">
        <f t="shared" si="1"/>
        <v>0</v>
      </c>
      <c r="AS7" s="2362">
        <f t="shared" si="1"/>
        <v>0</v>
      </c>
      <c r="AT7" s="2370">
        <f t="shared" si="1"/>
        <v>1.5748031496062992E-2</v>
      </c>
      <c r="AU7" s="2375" t="s">
        <v>1758</v>
      </c>
      <c r="AV7" s="2376" t="s">
        <v>1759</v>
      </c>
      <c r="AW7" s="2363" t="s">
        <v>1569</v>
      </c>
      <c r="AY7" s="2166" t="s">
        <v>2436</v>
      </c>
      <c r="BB7" s="2368">
        <f>BB3</f>
        <v>0.98425196850393704</v>
      </c>
      <c r="BC7" s="2368">
        <f t="shared" ref="BC7:BE7" si="2">BC3</f>
        <v>0</v>
      </c>
      <c r="BD7" s="2368">
        <f t="shared" si="2"/>
        <v>0</v>
      </c>
      <c r="BE7" s="2368">
        <f t="shared" si="2"/>
        <v>0</v>
      </c>
      <c r="BF7" s="2368">
        <f>BI3</f>
        <v>0</v>
      </c>
      <c r="BG7" s="2368">
        <f>BJ3</f>
        <v>0</v>
      </c>
      <c r="BH7" s="2368">
        <f>BK3</f>
        <v>0</v>
      </c>
      <c r="BI7" s="2368">
        <f>BF3</f>
        <v>0</v>
      </c>
      <c r="BJ7" s="2368">
        <f t="shared" ref="BJ7:BK7" si="3">BG3</f>
        <v>0</v>
      </c>
      <c r="BK7" s="2368">
        <f t="shared" si="3"/>
        <v>1.5748031496062992E-2</v>
      </c>
    </row>
    <row r="8" spans="2:67" ht="16.5" thickBot="1">
      <c r="B8" s="2398" t="s">
        <v>1571</v>
      </c>
      <c r="C8" s="2399"/>
      <c r="D8" s="2400"/>
      <c r="E8" s="2401"/>
      <c r="F8" s="2402"/>
      <c r="G8" s="3300"/>
      <c r="H8" s="3300"/>
      <c r="I8" s="2453"/>
      <c r="J8" s="2454"/>
      <c r="K8" s="2836"/>
      <c r="L8" s="2837"/>
      <c r="M8" s="2837"/>
      <c r="N8" s="2837"/>
      <c r="O8" s="2838"/>
      <c r="P8" s="2838"/>
      <c r="Q8" s="595"/>
      <c r="R8" s="596"/>
      <c r="S8" s="2918"/>
      <c r="T8" s="597"/>
      <c r="U8" s="598"/>
      <c r="V8" s="599">
        <f>ROUNDDOWN(AE8,1)</f>
        <v>3</v>
      </c>
      <c r="W8" s="554"/>
      <c r="X8" s="554"/>
      <c r="Y8" s="554"/>
      <c r="AA8" s="600"/>
      <c r="AB8" s="601"/>
      <c r="AC8" s="600"/>
      <c r="AD8" s="601"/>
      <c r="AE8" s="601">
        <f>AB9*AE9+AB62*AE62+AB112*AE112</f>
        <v>3.040139763779528</v>
      </c>
      <c r="AF8" s="554"/>
      <c r="AG8" s="582">
        <f>重み!M8</f>
        <v>0</v>
      </c>
      <c r="AH8" s="568"/>
      <c r="AI8" s="582">
        <f>重み!N8</f>
        <v>0</v>
      </c>
      <c r="AK8" s="2364"/>
      <c r="AL8" s="2364"/>
      <c r="AM8" s="2364"/>
      <c r="AN8" s="2364"/>
      <c r="AO8" s="2364"/>
      <c r="AP8" s="2364"/>
      <c r="AQ8" s="2364"/>
      <c r="AR8" s="2364"/>
      <c r="AS8" s="2364"/>
      <c r="AT8" s="2371"/>
      <c r="AU8" s="2377"/>
      <c r="AV8" s="2378"/>
      <c r="AW8" s="2365">
        <f t="shared" ref="AW8:AW9" si="4">ROUNDDOWN(AY8,1)</f>
        <v>3.2</v>
      </c>
      <c r="AY8" s="1">
        <f>AV9*AY9+AV62*AY62+AV112*AY112</f>
        <v>3.2399999999999998</v>
      </c>
    </row>
    <row r="9" spans="2:67" ht="15.75" thickBot="1">
      <c r="B9" s="602" t="s">
        <v>1572</v>
      </c>
      <c r="C9" s="603" t="s">
        <v>1761</v>
      </c>
      <c r="D9" s="603"/>
      <c r="E9" s="603"/>
      <c r="F9" s="604"/>
      <c r="G9" s="3301"/>
      <c r="H9" s="3301"/>
      <c r="I9" s="2455"/>
      <c r="J9" s="2456"/>
      <c r="K9" s="2839"/>
      <c r="L9" s="2840"/>
      <c r="M9" s="2840"/>
      <c r="N9" s="2840"/>
      <c r="O9" s="2841"/>
      <c r="P9" s="2841"/>
      <c r="Q9" s="605"/>
      <c r="R9" s="606">
        <f t="shared" ref="R9:R34" si="5">AB9</f>
        <v>0.4</v>
      </c>
      <c r="S9" s="2919"/>
      <c r="T9" s="607"/>
      <c r="U9" s="606">
        <f t="shared" ref="U9" si="6">AD9</f>
        <v>0</v>
      </c>
      <c r="V9" s="609">
        <f>ROUNDDOWN(AE9,1)</f>
        <v>3.1</v>
      </c>
      <c r="W9" s="554"/>
      <c r="X9" s="554"/>
      <c r="Y9" s="554"/>
      <c r="AA9" s="600"/>
      <c r="AB9" s="610">
        <f>重み!D9</f>
        <v>0.4</v>
      </c>
      <c r="AC9" s="600"/>
      <c r="AD9" s="610"/>
      <c r="AE9" s="601">
        <f>AE10*AB10+AE20*AB20+AE35*AB35+AE48*AB48</f>
        <v>3.1003494094488189</v>
      </c>
      <c r="AF9" s="554"/>
      <c r="AG9" s="611">
        <f>重み!M9</f>
        <v>0.4</v>
      </c>
      <c r="AH9" s="568"/>
      <c r="AI9" s="582">
        <f>重み!N9</f>
        <v>0</v>
      </c>
      <c r="AK9" s="2366"/>
      <c r="AL9" s="2366"/>
      <c r="AM9" s="2366"/>
      <c r="AN9" s="2366"/>
      <c r="AO9" s="2366"/>
      <c r="AP9" s="2366"/>
      <c r="AQ9" s="2366"/>
      <c r="AR9" s="2366"/>
      <c r="AS9" s="2366"/>
      <c r="AT9" s="2372"/>
      <c r="AU9" s="2379"/>
      <c r="AV9" s="2380">
        <f>R9</f>
        <v>0.4</v>
      </c>
      <c r="AW9" s="609">
        <f t="shared" si="4"/>
        <v>3</v>
      </c>
      <c r="AY9" s="2384">
        <f>SUMPRODUCT(AV10:AV61,AY10:AY61)</f>
        <v>3</v>
      </c>
      <c r="BM9" s="1"/>
      <c r="BN9" s="1"/>
      <c r="BO9" s="2895"/>
    </row>
    <row r="10" spans="2:67" ht="14.25" thickBot="1">
      <c r="B10" s="612">
        <v>1</v>
      </c>
      <c r="C10" s="613" t="s">
        <v>1762</v>
      </c>
      <c r="D10" s="614"/>
      <c r="E10" s="615"/>
      <c r="F10" s="616"/>
      <c r="G10" s="3302"/>
      <c r="H10" s="3302"/>
      <c r="I10" s="2457"/>
      <c r="J10" s="2458"/>
      <c r="K10" s="2842"/>
      <c r="L10" s="2843"/>
      <c r="M10" s="2843"/>
      <c r="N10" s="2843"/>
      <c r="O10" s="2844"/>
      <c r="P10" s="3193">
        <f>ROUNDDOWN(AA10,1)</f>
        <v>3</v>
      </c>
      <c r="Q10" s="3193">
        <f>ROUNDDOWN(AA10,1)</f>
        <v>3</v>
      </c>
      <c r="R10" s="618">
        <f t="shared" si="5"/>
        <v>0.15</v>
      </c>
      <c r="S10" s="3193">
        <f>ROUNDDOWN(AC10,1)</f>
        <v>3</v>
      </c>
      <c r="T10" s="3193">
        <f>ROUNDDOWN(AC10,1)</f>
        <v>3</v>
      </c>
      <c r="U10" s="619">
        <f t="shared" ref="U10:U72" si="7">AD10</f>
        <v>1</v>
      </c>
      <c r="V10" s="620">
        <f>ROUNDDOWN(AE10,1)</f>
        <v>3</v>
      </c>
      <c r="W10" s="554"/>
      <c r="X10" s="553"/>
      <c r="Y10" s="553"/>
      <c r="AA10" s="621">
        <f>AA11*AB11+AA14*AB14+AA19*AB19</f>
        <v>3</v>
      </c>
      <c r="AB10" s="622">
        <f>重み!D10</f>
        <v>0.15</v>
      </c>
      <c r="AC10" s="621">
        <f>AC11*AD11+AC14*AD14+AC19*AD19</f>
        <v>3</v>
      </c>
      <c r="AD10" s="623">
        <f>SUM(AD11,AD14,AD19)</f>
        <v>1</v>
      </c>
      <c r="AE10" s="601">
        <f>IF(AC10=0,AA10,IF(AA10=0,AC10,AA10*AG$6+AC10*AI$6))</f>
        <v>3.0000000000000004</v>
      </c>
      <c r="AF10" s="554"/>
      <c r="AG10" s="582">
        <f>重み!M10</f>
        <v>0.15</v>
      </c>
      <c r="AH10" s="568"/>
      <c r="AI10" s="624">
        <f>SUM(AI11,AI14,AI19)</f>
        <v>1.5748031496062992E-2</v>
      </c>
      <c r="AK10" s="2386">
        <v>3</v>
      </c>
      <c r="AL10" s="2386"/>
      <c r="AM10" s="2386"/>
      <c r="AN10" s="2386"/>
      <c r="AO10" s="2386"/>
      <c r="AP10" s="2386">
        <v>0</v>
      </c>
      <c r="AQ10" s="2386"/>
      <c r="AR10" s="2386"/>
      <c r="AS10" s="2386"/>
      <c r="AT10" s="2387"/>
      <c r="AU10" s="2381">
        <f>ROUNDDOWN(AY10,1)</f>
        <v>3</v>
      </c>
      <c r="AV10" s="2382">
        <f>R10</f>
        <v>0.15</v>
      </c>
      <c r="AW10" s="2367"/>
      <c r="AY10" s="2384">
        <f>IF(BA10=0,0,SUMPRODUCT($BB$7:$BK$7,AK10:AT10)/BA10)</f>
        <v>3</v>
      </c>
      <c r="BA10" s="2383">
        <f>SUMPRODUCT($BB$7:$BK$7,BB10:BK10)</f>
        <v>0.98425196850393704</v>
      </c>
      <c r="BB10" s="2369">
        <f t="shared" ref="BB10:BK10" si="8">IF(AK10&gt;0,1,0)</f>
        <v>1</v>
      </c>
      <c r="BC10" s="2369">
        <f t="shared" si="8"/>
        <v>0</v>
      </c>
      <c r="BD10" s="2369">
        <f t="shared" si="8"/>
        <v>0</v>
      </c>
      <c r="BE10" s="2369">
        <f t="shared" si="8"/>
        <v>0</v>
      </c>
      <c r="BF10" s="2369">
        <f t="shared" si="8"/>
        <v>0</v>
      </c>
      <c r="BG10" s="2369">
        <f t="shared" si="8"/>
        <v>0</v>
      </c>
      <c r="BH10" s="2369">
        <f t="shared" si="8"/>
        <v>0</v>
      </c>
      <c r="BI10" s="2369">
        <f t="shared" si="8"/>
        <v>0</v>
      </c>
      <c r="BJ10" s="2369">
        <f t="shared" si="8"/>
        <v>0</v>
      </c>
      <c r="BK10" s="2369">
        <f t="shared" si="8"/>
        <v>0</v>
      </c>
      <c r="BM10" s="1"/>
      <c r="BN10" s="1"/>
      <c r="BO10" s="2895"/>
    </row>
    <row r="11" spans="2:67" ht="14.25" thickBot="1">
      <c r="B11" s="625"/>
      <c r="C11" s="626">
        <v>1.1000000000000001</v>
      </c>
      <c r="D11" s="627" t="s">
        <v>3355</v>
      </c>
      <c r="E11" s="628"/>
      <c r="F11" s="629"/>
      <c r="G11" s="3303"/>
      <c r="H11" s="3303"/>
      <c r="I11" s="2459"/>
      <c r="J11" s="2460"/>
      <c r="K11" s="3627"/>
      <c r="L11" s="3628"/>
      <c r="M11" s="3628"/>
      <c r="N11" s="3628"/>
      <c r="O11" s="3629"/>
      <c r="P11" s="3194">
        <v>3</v>
      </c>
      <c r="Q11" s="738">
        <f>ROUNDDOWN(AA11,1)</f>
        <v>3</v>
      </c>
      <c r="R11" s="631">
        <f t="shared" si="5"/>
        <v>0.40157480314960631</v>
      </c>
      <c r="S11" s="3194"/>
      <c r="T11" s="738">
        <f>ROUNDDOWN(AC11,1)</f>
        <v>3</v>
      </c>
      <c r="U11" s="631">
        <f t="shared" si="7"/>
        <v>0.5</v>
      </c>
      <c r="V11" s="632"/>
      <c r="W11" s="554"/>
      <c r="X11" s="639">
        <f>IF(採点Q1!F8="対象外",0,採点Q1!F8)</f>
        <v>3</v>
      </c>
      <c r="Y11" s="640">
        <f>IF(採点Q1!L8="対象外",0,採点Q1!L8)</f>
        <v>3</v>
      </c>
      <c r="AA11" s="621">
        <f>IF($AA$3=4,P11,X11)</f>
        <v>3</v>
      </c>
      <c r="AB11" s="622">
        <f>重み!D11</f>
        <v>0.40157480314960631</v>
      </c>
      <c r="AC11" s="621">
        <f>IF($AA$3=4,S11,Y11)</f>
        <v>3</v>
      </c>
      <c r="AD11" s="622">
        <f>重み!E11</f>
        <v>0.5</v>
      </c>
      <c r="AE11" s="601"/>
      <c r="AF11" s="554"/>
      <c r="AG11" s="582">
        <f>重み!M11</f>
        <v>0.40157480314960631</v>
      </c>
      <c r="AH11" s="568"/>
      <c r="AI11" s="582">
        <f>重み!N11</f>
        <v>7.874015748031496E-3</v>
      </c>
      <c r="BM11" s="1" t="s">
        <v>3196</v>
      </c>
      <c r="BN11" s="1">
        <f>IF(AND(ISERROR(Q11)=FALSE,ISERROR(R11)=FALSE,ISERROR(T11)=FALSE,ISERROR(U11)=FALSE),IF(OR(AND(Q11&gt;3,R11&gt;0),AND(T11&gt;3,U11&gt;0)),MAX(Q11,T11),0),0)</f>
        <v>0</v>
      </c>
      <c r="BO11" s="2895" t="str">
        <f>IF(K11=0,"",K11)</f>
        <v/>
      </c>
    </row>
    <row r="12" spans="2:67" ht="14.25" hidden="1" thickBot="1">
      <c r="B12" s="625"/>
      <c r="C12" s="633"/>
      <c r="D12" s="634">
        <v>1</v>
      </c>
      <c r="E12" s="635" t="s">
        <v>1763</v>
      </c>
      <c r="F12" s="636"/>
      <c r="G12" s="3304"/>
      <c r="H12" s="3304"/>
      <c r="I12" s="2459"/>
      <c r="J12" s="2460"/>
      <c r="K12" s="3614"/>
      <c r="L12" s="3615"/>
      <c r="M12" s="3615"/>
      <c r="N12" s="3615"/>
      <c r="O12" s="3616"/>
      <c r="P12" s="651">
        <v>0</v>
      </c>
      <c r="Q12" s="651">
        <f>ROUNDDOWN(AA12,1)</f>
        <v>0</v>
      </c>
      <c r="R12" s="638">
        <f t="shared" si="5"/>
        <v>0</v>
      </c>
      <c r="S12" s="651"/>
      <c r="T12" s="651">
        <f>ROUNDDOWN(AC12,1)</f>
        <v>0</v>
      </c>
      <c r="U12" s="638">
        <f t="shared" si="7"/>
        <v>0</v>
      </c>
      <c r="V12" s="620"/>
      <c r="W12" s="554"/>
      <c r="AA12" s="641"/>
      <c r="AB12" s="622">
        <f>重み!D12</f>
        <v>0</v>
      </c>
      <c r="AC12" s="641"/>
      <c r="AD12" s="622">
        <f>重み!E12</f>
        <v>0</v>
      </c>
      <c r="AE12" s="601"/>
      <c r="AF12" s="554"/>
      <c r="AG12" s="582">
        <f>重み!M12</f>
        <v>0</v>
      </c>
      <c r="AH12" s="568"/>
      <c r="AI12" s="582">
        <f>重み!N12</f>
        <v>0</v>
      </c>
      <c r="BM12" s="1"/>
      <c r="BN12" s="1"/>
      <c r="BO12" s="2895">
        <f t="shared" ref="BO12:BO58" si="9">K12</f>
        <v>0</v>
      </c>
    </row>
    <row r="13" spans="2:67" ht="14.25" hidden="1" thickBot="1">
      <c r="B13" s="625"/>
      <c r="C13" s="642"/>
      <c r="D13" s="682">
        <v>2</v>
      </c>
      <c r="E13" s="683" t="s">
        <v>1764</v>
      </c>
      <c r="F13" s="684"/>
      <c r="G13" s="3305"/>
      <c r="H13" s="3305"/>
      <c r="I13" s="2459"/>
      <c r="J13" s="2460"/>
      <c r="K13" s="3614"/>
      <c r="L13" s="3615"/>
      <c r="M13" s="3615"/>
      <c r="N13" s="3615"/>
      <c r="O13" s="3616"/>
      <c r="P13" s="644">
        <v>0</v>
      </c>
      <c r="Q13" s="644">
        <f t="shared" ref="Q13" si="10">ROUNDDOWN(AA13,1)</f>
        <v>0</v>
      </c>
      <c r="R13" s="638">
        <f t="shared" si="5"/>
        <v>0</v>
      </c>
      <c r="S13" s="644"/>
      <c r="T13" s="644">
        <f t="shared" ref="T13" si="11">ROUNDDOWN(AC13,1)</f>
        <v>0</v>
      </c>
      <c r="U13" s="638">
        <f t="shared" si="7"/>
        <v>0</v>
      </c>
      <c r="V13" s="620"/>
      <c r="W13" s="554"/>
      <c r="X13" s="645">
        <f>IF(採点Q1!F33="対象外",0,採点Q1!F33)</f>
        <v>0</v>
      </c>
      <c r="Y13" s="646">
        <f>採点Q1!K33</f>
        <v>0</v>
      </c>
      <c r="Z13" s="883"/>
      <c r="AA13" s="3195"/>
      <c r="AB13" s="622">
        <f>重み!D13</f>
        <v>0</v>
      </c>
      <c r="AC13" s="3195"/>
      <c r="AD13" s="622">
        <f>重み!E13</f>
        <v>0</v>
      </c>
      <c r="AE13" s="601"/>
      <c r="AF13" s="554"/>
      <c r="AG13" s="582">
        <f>重み!M13</f>
        <v>0</v>
      </c>
      <c r="AH13" s="568"/>
      <c r="AI13" s="582">
        <f>重み!N13</f>
        <v>0</v>
      </c>
      <c r="BM13" s="1"/>
      <c r="BN13" s="1"/>
      <c r="BO13" s="2895">
        <f t="shared" si="9"/>
        <v>0</v>
      </c>
    </row>
    <row r="14" spans="2:67" ht="14.25" thickBot="1">
      <c r="B14" s="625"/>
      <c r="C14" s="626">
        <v>1.2</v>
      </c>
      <c r="D14" s="628" t="s">
        <v>1765</v>
      </c>
      <c r="E14" s="648"/>
      <c r="F14" s="649"/>
      <c r="G14" s="3304"/>
      <c r="H14" s="3304"/>
      <c r="I14" s="2459"/>
      <c r="J14" s="2460"/>
      <c r="K14" s="2842"/>
      <c r="L14" s="2843"/>
      <c r="M14" s="2843"/>
      <c r="N14" s="2843"/>
      <c r="O14" s="2844"/>
      <c r="P14" s="3196">
        <f>ROUNDDOWN(AA14,1)</f>
        <v>3</v>
      </c>
      <c r="Q14" s="630">
        <f>ROUNDDOWN(AA14,1)</f>
        <v>3</v>
      </c>
      <c r="R14" s="638">
        <f t="shared" si="5"/>
        <v>0.40157480314960631</v>
      </c>
      <c r="S14" s="638"/>
      <c r="T14" s="630">
        <f>ROUNDDOWN(AC14,1)</f>
        <v>3</v>
      </c>
      <c r="U14" s="638">
        <f t="shared" si="7"/>
        <v>0.5</v>
      </c>
      <c r="V14" s="620"/>
      <c r="W14" s="554"/>
      <c r="X14" s="650"/>
      <c r="Y14" s="650"/>
      <c r="AA14" s="621">
        <f>SUMPRODUCT(AA15:AA18,AB15:AB18)</f>
        <v>3</v>
      </c>
      <c r="AB14" s="622">
        <f>重み!D14</f>
        <v>0.40157480314960631</v>
      </c>
      <c r="AC14" s="621">
        <f>SUMPRODUCT(AC15:AC18,AD15:AD18)</f>
        <v>3</v>
      </c>
      <c r="AD14" s="622">
        <f>重み!E14</f>
        <v>0.5</v>
      </c>
      <c r="AE14" s="601"/>
      <c r="AF14" s="554"/>
      <c r="AG14" s="582">
        <f>重み!M14</f>
        <v>0.40157480314960631</v>
      </c>
      <c r="AH14" s="568"/>
      <c r="AI14" s="582">
        <f>重み!N14</f>
        <v>7.874015748031496E-3</v>
      </c>
      <c r="BM14" s="1"/>
      <c r="BN14" s="1"/>
      <c r="BO14" s="2895"/>
    </row>
    <row r="15" spans="2:67">
      <c r="B15" s="625"/>
      <c r="C15" s="647"/>
      <c r="D15" s="634">
        <v>1</v>
      </c>
      <c r="E15" s="643" t="s">
        <v>577</v>
      </c>
      <c r="F15" s="629"/>
      <c r="G15" s="3304"/>
      <c r="H15" s="3304"/>
      <c r="I15" s="2459"/>
      <c r="J15" s="2460"/>
      <c r="K15" s="3614"/>
      <c r="L15" s="3615"/>
      <c r="M15" s="3615"/>
      <c r="N15" s="3615"/>
      <c r="O15" s="3616"/>
      <c r="P15" s="3197">
        <v>0</v>
      </c>
      <c r="Q15" s="637">
        <f t="shared" ref="Q15:Q78" si="12">ROUNDDOWN(AA15,1)</f>
        <v>3</v>
      </c>
      <c r="R15" s="638">
        <f t="shared" si="5"/>
        <v>0.60629921259842512</v>
      </c>
      <c r="S15" s="3197"/>
      <c r="T15" s="637">
        <f t="shared" ref="T15:T78" si="13">ROUNDDOWN(AC15,1)</f>
        <v>3</v>
      </c>
      <c r="U15" s="638">
        <f t="shared" si="7"/>
        <v>0.3</v>
      </c>
      <c r="V15" s="620"/>
      <c r="W15" s="554"/>
      <c r="X15" s="639">
        <f>IF(採点Q1!F68="対象外",0,採点Q1!F68)</f>
        <v>3</v>
      </c>
      <c r="Y15" s="640">
        <f>採点Q1!K68</f>
        <v>3</v>
      </c>
      <c r="Z15" s="2445"/>
      <c r="AA15" s="641">
        <f t="shared" ref="AA15:AA19" si="14">IF($AA$3=4,P15,X15)</f>
        <v>3</v>
      </c>
      <c r="AB15" s="622">
        <f>重み!D15</f>
        <v>0.60629921259842512</v>
      </c>
      <c r="AC15" s="641">
        <f t="shared" ref="AC15:AC19" si="15">IF($AA$3=4,S15,Y15)</f>
        <v>3</v>
      </c>
      <c r="AD15" s="622">
        <f>重み!E15</f>
        <v>0.3</v>
      </c>
      <c r="AE15" s="601"/>
      <c r="AF15" s="554"/>
      <c r="AG15" s="582">
        <f>重み!M15</f>
        <v>0.60629921259842512</v>
      </c>
      <c r="AH15" s="568"/>
      <c r="AI15" s="582">
        <f>重み!N15</f>
        <v>4.7244094488188976E-3</v>
      </c>
      <c r="BM15" s="1" t="s">
        <v>3197</v>
      </c>
      <c r="BN15" s="1">
        <f>IF(AND(ISERROR(Q15)=FALSE,ISERROR(R15)=FALSE,ISERROR(T15)=FALSE,ISERROR(U15)=FALSE),IF(OR(AND(Q15&gt;3,R15&gt;0),AND(T15&gt;3,U15&gt;0)),MAX(Q15,T15),0),0)</f>
        <v>0</v>
      </c>
      <c r="BO15" s="2895" t="str">
        <f>IF(K15=0,"",K15)</f>
        <v/>
      </c>
    </row>
    <row r="16" spans="2:67">
      <c r="B16" s="625"/>
      <c r="C16" s="633"/>
      <c r="D16" s="634">
        <v>2</v>
      </c>
      <c r="E16" s="643" t="s">
        <v>578</v>
      </c>
      <c r="F16" s="629"/>
      <c r="G16" s="3304"/>
      <c r="H16" s="3304"/>
      <c r="I16" s="2459"/>
      <c r="J16" s="2460"/>
      <c r="K16" s="3614"/>
      <c r="L16" s="3615"/>
      <c r="M16" s="3615"/>
      <c r="N16" s="3615"/>
      <c r="O16" s="3616"/>
      <c r="P16" s="3198">
        <v>0</v>
      </c>
      <c r="Q16" s="651">
        <f t="shared" si="12"/>
        <v>3</v>
      </c>
      <c r="R16" s="638">
        <f t="shared" si="5"/>
        <v>0.39370078740157483</v>
      </c>
      <c r="S16" s="3198"/>
      <c r="T16" s="651">
        <f t="shared" si="13"/>
        <v>3</v>
      </c>
      <c r="U16" s="638">
        <f t="shared" si="7"/>
        <v>0.3</v>
      </c>
      <c r="V16" s="620"/>
      <c r="W16" s="554"/>
      <c r="X16" s="652">
        <f>IF(採点Q1!F84="対象外",0,採点Q1!F84)</f>
        <v>3</v>
      </c>
      <c r="Y16" s="653">
        <f>採点Q1!K84</f>
        <v>3</v>
      </c>
      <c r="Z16" s="2445"/>
      <c r="AA16" s="641">
        <f t="shared" si="14"/>
        <v>3</v>
      </c>
      <c r="AB16" s="622">
        <f>重み!D16</f>
        <v>0.39370078740157483</v>
      </c>
      <c r="AC16" s="641">
        <f t="shared" si="15"/>
        <v>3</v>
      </c>
      <c r="AD16" s="622">
        <f>重み!E16</f>
        <v>0.3</v>
      </c>
      <c r="AE16" s="601"/>
      <c r="AF16" s="554"/>
      <c r="AG16" s="582">
        <f>重み!M16</f>
        <v>0.39370078740157483</v>
      </c>
      <c r="AH16" s="568"/>
      <c r="AI16" s="582">
        <f>重み!N16</f>
        <v>4.7244094488188976E-3</v>
      </c>
      <c r="BM16" s="1" t="s">
        <v>3198</v>
      </c>
      <c r="BN16" s="1">
        <f>IF(AND(ISERROR(Q16)=FALSE,ISERROR(R16)=FALSE,ISERROR(T16)=FALSE,ISERROR(U16)=FALSE),IF(OR(AND(Q16&gt;3,R16&gt;0),AND(T16&gt;3,U16&gt;0)),MAX(Q16,T16),0),0)</f>
        <v>0</v>
      </c>
      <c r="BO16" s="2895" t="str">
        <f>IF(K16=0,"",K16)</f>
        <v/>
      </c>
    </row>
    <row r="17" spans="2:67">
      <c r="B17" s="625"/>
      <c r="C17" s="633"/>
      <c r="D17" s="634">
        <v>3</v>
      </c>
      <c r="E17" s="643" t="s">
        <v>579</v>
      </c>
      <c r="F17" s="629"/>
      <c r="G17" s="3304"/>
      <c r="H17" s="3304"/>
      <c r="I17" s="2459"/>
      <c r="J17" s="2460"/>
      <c r="K17" s="3614"/>
      <c r="L17" s="3615"/>
      <c r="M17" s="3615"/>
      <c r="N17" s="3615"/>
      <c r="O17" s="3616"/>
      <c r="P17" s="3198">
        <v>0</v>
      </c>
      <c r="Q17" s="651">
        <f t="shared" si="12"/>
        <v>3</v>
      </c>
      <c r="R17" s="638">
        <f t="shared" si="5"/>
        <v>0</v>
      </c>
      <c r="S17" s="3198"/>
      <c r="T17" s="651">
        <f t="shared" si="13"/>
        <v>3</v>
      </c>
      <c r="U17" s="638">
        <f t="shared" si="7"/>
        <v>0.2</v>
      </c>
      <c r="V17" s="620"/>
      <c r="W17" s="554"/>
      <c r="X17" s="652">
        <f>IF(採点Q1!F100="対象外",0,採点Q1!F100)</f>
        <v>3</v>
      </c>
      <c r="Y17" s="653">
        <f>採点Q1!K100</f>
        <v>3</v>
      </c>
      <c r="Z17" s="2445"/>
      <c r="AA17" s="641">
        <f t="shared" si="14"/>
        <v>3</v>
      </c>
      <c r="AB17" s="622">
        <f>重み!D17</f>
        <v>0</v>
      </c>
      <c r="AC17" s="641">
        <f t="shared" si="15"/>
        <v>3</v>
      </c>
      <c r="AD17" s="622">
        <f>重み!E17</f>
        <v>0.2</v>
      </c>
      <c r="AE17" s="601"/>
      <c r="AF17" s="554"/>
      <c r="AG17" s="582">
        <f>重み!M17</f>
        <v>0</v>
      </c>
      <c r="AH17" s="568"/>
      <c r="AI17" s="582">
        <f>重み!N17</f>
        <v>3.1496062992125984E-3</v>
      </c>
      <c r="BM17" s="1" t="s">
        <v>3199</v>
      </c>
      <c r="BN17" s="1">
        <f>IF(AND(ISERROR(Q17)=FALSE,ISERROR(R17)=FALSE,ISERROR(T17)=FALSE,ISERROR(U17)=FALSE),IF(OR(AND(Q17&gt;3,R17&gt;0),AND(T17&gt;3,U17&gt;0)),MAX(Q17,T17),0),0)</f>
        <v>0</v>
      </c>
      <c r="BO17" s="2895" t="str">
        <f>IF(K17=0,"",K17)</f>
        <v/>
      </c>
    </row>
    <row r="18" spans="2:67">
      <c r="B18" s="625"/>
      <c r="C18" s="642"/>
      <c r="D18" s="634">
        <v>4</v>
      </c>
      <c r="E18" s="643" t="s">
        <v>580</v>
      </c>
      <c r="F18" s="629"/>
      <c r="G18" s="3304"/>
      <c r="H18" s="3304"/>
      <c r="I18" s="2459"/>
      <c r="J18" s="2460"/>
      <c r="K18" s="3614"/>
      <c r="L18" s="3615"/>
      <c r="M18" s="3615"/>
      <c r="N18" s="3615"/>
      <c r="O18" s="3616"/>
      <c r="P18" s="3198">
        <v>0</v>
      </c>
      <c r="Q18" s="651">
        <f t="shared" si="12"/>
        <v>3</v>
      </c>
      <c r="R18" s="638">
        <f t="shared" si="5"/>
        <v>0</v>
      </c>
      <c r="S18" s="3198"/>
      <c r="T18" s="651">
        <f t="shared" si="13"/>
        <v>3</v>
      </c>
      <c r="U18" s="638">
        <f t="shared" si="7"/>
        <v>0.2</v>
      </c>
      <c r="V18" s="620"/>
      <c r="W18" s="554"/>
      <c r="X18" s="652">
        <f>IF(採点Q1!F116="対象外",0,採点Q1!F116)</f>
        <v>3</v>
      </c>
      <c r="Y18" s="653">
        <f>採点Q1!K116</f>
        <v>3</v>
      </c>
      <c r="Z18" s="2445"/>
      <c r="AA18" s="641">
        <f t="shared" si="14"/>
        <v>3</v>
      </c>
      <c r="AB18" s="622">
        <f>重み!D18</f>
        <v>0</v>
      </c>
      <c r="AC18" s="641">
        <f t="shared" si="15"/>
        <v>3</v>
      </c>
      <c r="AD18" s="622">
        <f>重み!E18</f>
        <v>0.2</v>
      </c>
      <c r="AE18" s="601"/>
      <c r="AF18" s="554"/>
      <c r="AG18" s="582">
        <f>重み!M18</f>
        <v>0</v>
      </c>
      <c r="AH18" s="568"/>
      <c r="AI18" s="582">
        <f>重み!N18</f>
        <v>3.1496062992125984E-3</v>
      </c>
      <c r="BM18" s="1" t="s">
        <v>3200</v>
      </c>
      <c r="BN18" s="1">
        <f>IF(AND(ISERROR(Q18)=FALSE,ISERROR(R18)=FALSE,ISERROR(T18)=FALSE,ISERROR(U18)=FALSE),IF(OR(AND(Q18&gt;3,R18&gt;0),AND(T18&gt;3,U18&gt;0)),MAX(Q18,T18),0),0)</f>
        <v>0</v>
      </c>
      <c r="BO18" s="2895" t="str">
        <f>IF(K18=0,"",K18)</f>
        <v/>
      </c>
    </row>
    <row r="19" spans="2:67" ht="14.25" thickBot="1">
      <c r="B19" s="654"/>
      <c r="C19" s="655">
        <v>1.3</v>
      </c>
      <c r="D19" s="628" t="s">
        <v>581</v>
      </c>
      <c r="E19" s="628"/>
      <c r="F19" s="629"/>
      <c r="G19" s="3303"/>
      <c r="H19" s="3303"/>
      <c r="I19" s="2459"/>
      <c r="J19" s="2460"/>
      <c r="K19" s="3614"/>
      <c r="L19" s="3615"/>
      <c r="M19" s="3615"/>
      <c r="N19" s="3615"/>
      <c r="O19" s="3616"/>
      <c r="P19" s="3199">
        <v>0</v>
      </c>
      <c r="Q19" s="656">
        <f t="shared" si="12"/>
        <v>3</v>
      </c>
      <c r="R19" s="638">
        <f t="shared" si="5"/>
        <v>0.19685039370078741</v>
      </c>
      <c r="S19" s="3199"/>
      <c r="T19" s="656">
        <f t="shared" si="13"/>
        <v>3</v>
      </c>
      <c r="U19" s="638">
        <f t="shared" si="7"/>
        <v>0</v>
      </c>
      <c r="V19" s="620"/>
      <c r="W19" s="554"/>
      <c r="X19" s="645">
        <f>IF(採点Q1!F132="対象外",0,採点Q1!F132)</f>
        <v>3</v>
      </c>
      <c r="Y19" s="646">
        <f>採点Q1!K132</f>
        <v>3</v>
      </c>
      <c r="Z19" s="2445"/>
      <c r="AA19" s="3200">
        <f t="shared" si="14"/>
        <v>3</v>
      </c>
      <c r="AB19" s="622">
        <f>重み!D19</f>
        <v>0.19685039370078741</v>
      </c>
      <c r="AC19" s="3200">
        <f t="shared" si="15"/>
        <v>3</v>
      </c>
      <c r="AD19" s="622">
        <f>重み!E19</f>
        <v>0</v>
      </c>
      <c r="AE19" s="601"/>
      <c r="AF19" s="554"/>
      <c r="AG19" s="582">
        <f>重み!M19</f>
        <v>0.19685039370078741</v>
      </c>
      <c r="AH19" s="568"/>
      <c r="AI19" s="582">
        <f>重み!N19</f>
        <v>0</v>
      </c>
      <c r="BM19" s="1" t="s">
        <v>3201</v>
      </c>
      <c r="BN19" s="1">
        <f>IF(AND(ISERROR(Q19)=FALSE,ISERROR(R19)=FALSE,ISERROR(T19)=FALSE,ISERROR(U19)=FALSE),IF(OR(AND(Q19&gt;3,R19&gt;0),AND(T19&gt;3,U19&gt;0)),MAX(Q19,T19),0),0)</f>
        <v>0</v>
      </c>
      <c r="BO19" s="2895" t="str">
        <f>IF(K19=0,"",K19)</f>
        <v/>
      </c>
    </row>
    <row r="20" spans="2:67">
      <c r="B20" s="712">
        <v>2</v>
      </c>
      <c r="C20" s="657" t="s">
        <v>582</v>
      </c>
      <c r="D20" s="726"/>
      <c r="E20" s="664"/>
      <c r="F20" s="665"/>
      <c r="G20" s="3306" t="s">
        <v>4082</v>
      </c>
      <c r="H20" s="3307"/>
      <c r="I20" s="2461"/>
      <c r="J20" s="2462"/>
      <c r="K20" s="2845"/>
      <c r="L20" s="2846"/>
      <c r="M20" s="2846"/>
      <c r="N20" s="2846"/>
      <c r="O20" s="2847"/>
      <c r="P20" s="659">
        <f t="shared" ref="P20:P21" si="16">ROUNDDOWN(AA20,1)</f>
        <v>3.3</v>
      </c>
      <c r="Q20" s="659">
        <f t="shared" si="12"/>
        <v>3.3</v>
      </c>
      <c r="R20" s="660">
        <f t="shared" si="5"/>
        <v>0.35</v>
      </c>
      <c r="S20" s="617">
        <f t="shared" ref="S20:S21" si="17">ROUNDDOWN(AC20,1)</f>
        <v>2.4</v>
      </c>
      <c r="T20" s="617">
        <f t="shared" si="13"/>
        <v>2.4</v>
      </c>
      <c r="U20" s="661">
        <f t="shared" si="7"/>
        <v>1</v>
      </c>
      <c r="V20" s="662">
        <f>ROUNDDOWN(AE20,1)</f>
        <v>3.2</v>
      </c>
      <c r="W20" s="554"/>
      <c r="X20" s="3201"/>
      <c r="Y20" s="3201"/>
      <c r="Z20" s="2445"/>
      <c r="AA20" s="3202">
        <f>AA21*AB21+AA30*AB30+AA31*AB31+AA32*AB32</f>
        <v>3.3</v>
      </c>
      <c r="AB20" s="622">
        <f>重み!D20</f>
        <v>0.35</v>
      </c>
      <c r="AC20" s="3202">
        <f>AC21*AD21+AC30*AD30+AC31*AD31+AC32*AD32</f>
        <v>2.4</v>
      </c>
      <c r="AD20" s="623">
        <f>SUM(AD21,AD30,AD31,AD32)</f>
        <v>1</v>
      </c>
      <c r="AE20" s="601">
        <f>IF(AC20=0,AA20,IF(AA20=0,AC20,AA20*AG$6+AC20*AI$6))</f>
        <v>3.2867125984251966</v>
      </c>
      <c r="AF20" s="554"/>
      <c r="AG20" s="582">
        <f>重み!M20</f>
        <v>0.35</v>
      </c>
      <c r="AH20" s="568"/>
      <c r="AI20" s="623">
        <f>SUM(AI21,AI30,AI31,AI32)</f>
        <v>1.5748031496062992E-2</v>
      </c>
      <c r="AK20" s="2388">
        <v>3</v>
      </c>
      <c r="AL20" s="2388"/>
      <c r="AM20" s="2388"/>
      <c r="AN20" s="2388"/>
      <c r="AO20" s="2388"/>
      <c r="AP20" s="2388">
        <v>0</v>
      </c>
      <c r="AQ20" s="2388"/>
      <c r="AR20" s="2388"/>
      <c r="AS20" s="2388"/>
      <c r="AT20" s="2388"/>
      <c r="AU20" s="2385">
        <f t="shared" ref="AU20" si="18">ROUNDDOWN(AY20,1)</f>
        <v>3</v>
      </c>
      <c r="AV20" s="799">
        <f>R20</f>
        <v>0.35</v>
      </c>
      <c r="AW20" s="662"/>
      <c r="AY20" s="2384">
        <f>IF(BA20=0,0,SUMPRODUCT($BB$7:$BK$7,AK20:AT20)/BA20)</f>
        <v>3</v>
      </c>
      <c r="BA20" s="2383">
        <f>SUMPRODUCT($BB$7:$BK$7,BB20:BK20)</f>
        <v>0.98425196850393704</v>
      </c>
      <c r="BB20" s="2369">
        <f t="shared" ref="BB20:BK20" si="19">IF(AK20&gt;0,1,0)</f>
        <v>1</v>
      </c>
      <c r="BC20" s="2369">
        <f t="shared" si="19"/>
        <v>0</v>
      </c>
      <c r="BD20" s="2369">
        <f t="shared" si="19"/>
        <v>0</v>
      </c>
      <c r="BE20" s="2369">
        <f t="shared" si="19"/>
        <v>0</v>
      </c>
      <c r="BF20" s="2369">
        <f t="shared" si="19"/>
        <v>0</v>
      </c>
      <c r="BG20" s="2369">
        <f t="shared" si="19"/>
        <v>0</v>
      </c>
      <c r="BH20" s="2369">
        <f t="shared" si="19"/>
        <v>0</v>
      </c>
      <c r="BI20" s="2369">
        <f t="shared" si="19"/>
        <v>0</v>
      </c>
      <c r="BJ20" s="2369">
        <f t="shared" si="19"/>
        <v>0</v>
      </c>
      <c r="BK20" s="2369">
        <f t="shared" si="19"/>
        <v>0</v>
      </c>
      <c r="BM20" s="1"/>
      <c r="BN20" s="1"/>
      <c r="BO20" s="2895"/>
    </row>
    <row r="21" spans="2:67" ht="14.25" thickBot="1">
      <c r="B21" s="625"/>
      <c r="C21" s="626">
        <v>2.1</v>
      </c>
      <c r="D21" s="663" t="s">
        <v>583</v>
      </c>
      <c r="E21" s="664"/>
      <c r="F21" s="665"/>
      <c r="G21" s="3303"/>
      <c r="H21" s="3303"/>
      <c r="I21" s="2459"/>
      <c r="J21" s="2460"/>
      <c r="K21" s="2848"/>
      <c r="L21" s="2849"/>
      <c r="M21" s="2849"/>
      <c r="N21" s="2849"/>
      <c r="O21" s="2850"/>
      <c r="P21" s="630">
        <f t="shared" si="16"/>
        <v>3</v>
      </c>
      <c r="Q21" s="630">
        <f t="shared" si="12"/>
        <v>3</v>
      </c>
      <c r="R21" s="666">
        <f t="shared" si="5"/>
        <v>0.5</v>
      </c>
      <c r="S21" s="667">
        <f t="shared" si="17"/>
        <v>3</v>
      </c>
      <c r="T21" s="3203">
        <f t="shared" si="13"/>
        <v>3</v>
      </c>
      <c r="U21" s="668">
        <f t="shared" si="7"/>
        <v>0.5</v>
      </c>
      <c r="V21" s="632"/>
      <c r="W21" s="554"/>
      <c r="X21" s="3204"/>
      <c r="Y21" s="3204"/>
      <c r="Z21" s="2445"/>
      <c r="AA21" s="621">
        <f>SUMPRODUCT(AA22:AA29,AB22:AB29)</f>
        <v>2.9999999999999996</v>
      </c>
      <c r="AB21" s="622">
        <f>重み!D21</f>
        <v>0.5</v>
      </c>
      <c r="AC21" s="621">
        <f>SUMPRODUCT(AC22:AC29,AD22:AD29)</f>
        <v>3</v>
      </c>
      <c r="AD21" s="622">
        <f>重み!E21</f>
        <v>0.5</v>
      </c>
      <c r="AE21" s="601"/>
      <c r="AF21" s="554"/>
      <c r="AG21" s="582">
        <f>重み!M21</f>
        <v>0.5</v>
      </c>
      <c r="AH21" s="568"/>
      <c r="AI21" s="582">
        <f>重み!N21</f>
        <v>7.874015748031496E-3</v>
      </c>
      <c r="AJ21" s="2445"/>
      <c r="AK21" s="2445"/>
      <c r="AL21" s="2445"/>
      <c r="AM21" s="2445"/>
      <c r="AN21" s="2445"/>
      <c r="AO21" s="2445"/>
      <c r="AP21" s="2445"/>
      <c r="AQ21" s="2445"/>
      <c r="AR21" s="2445"/>
      <c r="AS21" s="2445"/>
      <c r="AT21" s="2445"/>
      <c r="AU21" s="2445"/>
      <c r="BM21" s="1"/>
      <c r="BN21" s="1"/>
      <c r="BO21" s="2895"/>
    </row>
    <row r="22" spans="2:67">
      <c r="B22" s="625"/>
      <c r="C22" s="669"/>
      <c r="D22" s="634">
        <v>1</v>
      </c>
      <c r="E22" s="628" t="s">
        <v>737</v>
      </c>
      <c r="F22" s="670"/>
      <c r="G22" s="3308" t="s">
        <v>4083</v>
      </c>
      <c r="H22" s="3304"/>
      <c r="I22" s="2459"/>
      <c r="J22" s="2460"/>
      <c r="K22" s="3614"/>
      <c r="L22" s="3615"/>
      <c r="M22" s="3615"/>
      <c r="N22" s="3615"/>
      <c r="O22" s="3616"/>
      <c r="P22" s="3197">
        <v>3</v>
      </c>
      <c r="Q22" s="637">
        <f t="shared" si="12"/>
        <v>3</v>
      </c>
      <c r="R22" s="638">
        <f t="shared" si="5"/>
        <v>0.37893700787401569</v>
      </c>
      <c r="S22" s="3197"/>
      <c r="T22" s="637">
        <f t="shared" si="13"/>
        <v>3</v>
      </c>
      <c r="U22" s="638">
        <f t="shared" si="7"/>
        <v>0.625</v>
      </c>
      <c r="V22" s="620"/>
      <c r="W22" s="554"/>
      <c r="X22" s="639">
        <f>IF(採点Q1!F143="対象外",0,採点Q1!F143)</f>
        <v>3</v>
      </c>
      <c r="Y22" s="640">
        <f>採点Q1!M143</f>
        <v>3</v>
      </c>
      <c r="Z22" s="2445"/>
      <c r="AA22" s="641">
        <f t="shared" ref="AA22" si="20">IF($AA$3=4,P22,X22)</f>
        <v>3</v>
      </c>
      <c r="AB22" s="622">
        <f>重み!D22</f>
        <v>0.37893700787401569</v>
      </c>
      <c r="AC22" s="641">
        <f t="shared" ref="AC22" si="21">IF($AA$3=4,S22,Y22)</f>
        <v>3</v>
      </c>
      <c r="AD22" s="622">
        <f>重み!E22</f>
        <v>0.625</v>
      </c>
      <c r="AE22" s="601"/>
      <c r="AF22" s="554"/>
      <c r="AG22" s="582">
        <f>重み!M22</f>
        <v>0.37893700787401569</v>
      </c>
      <c r="AH22" s="568"/>
      <c r="AI22" s="582">
        <f>重み!N22</f>
        <v>9.8425196850393699E-3</v>
      </c>
      <c r="AJ22" s="2445"/>
      <c r="AK22" s="2445"/>
      <c r="AL22" s="2445"/>
      <c r="AM22" s="2445"/>
      <c r="AN22" s="2445"/>
      <c r="AO22" s="2445"/>
      <c r="AP22" s="2445"/>
      <c r="AQ22" s="2445"/>
      <c r="AR22" s="2445"/>
      <c r="AS22" s="2445"/>
      <c r="AT22" s="2445"/>
      <c r="AU22" s="2445"/>
      <c r="BM22" s="1" t="s">
        <v>3202</v>
      </c>
      <c r="BN22" s="1">
        <f>IF(AND(ISERROR(Q22)=FALSE,ISERROR(R22)=FALSE,ISERROR(T22)=FALSE,ISERROR(U22)=FALSE),IF(OR(AND(Q22&gt;3,R22&gt;0),AND(T22&gt;3,U22&gt;0)),MAX(Q22,T22),0),0)</f>
        <v>0</v>
      </c>
      <c r="BO22" s="2895" t="str">
        <f t="shared" ref="BO22:BO31" si="22">IF(K22=0,"",K22)</f>
        <v/>
      </c>
    </row>
    <row r="23" spans="2:67" hidden="1">
      <c r="B23" s="625"/>
      <c r="C23" s="669"/>
      <c r="D23" s="682">
        <v>2</v>
      </c>
      <c r="E23" s="683" t="s">
        <v>2402</v>
      </c>
      <c r="F23" s="684"/>
      <c r="G23" s="3309" t="s">
        <v>4084</v>
      </c>
      <c r="H23" s="3305" t="s">
        <v>4082</v>
      </c>
      <c r="I23" s="2459"/>
      <c r="J23" s="2460"/>
      <c r="K23" s="3614"/>
      <c r="L23" s="3615"/>
      <c r="M23" s="3615"/>
      <c r="N23" s="3615"/>
      <c r="O23" s="3616"/>
      <c r="P23" s="3198">
        <v>0</v>
      </c>
      <c r="Q23" s="651">
        <f t="shared" si="12"/>
        <v>0</v>
      </c>
      <c r="R23" s="3205">
        <f t="shared" si="5"/>
        <v>0</v>
      </c>
      <c r="S23" s="3198"/>
      <c r="T23" s="651">
        <f t="shared" si="13"/>
        <v>0</v>
      </c>
      <c r="U23" s="3205">
        <f t="shared" si="7"/>
        <v>0</v>
      </c>
      <c r="V23" s="3206"/>
      <c r="W23" s="554"/>
      <c r="X23" s="652">
        <f>IF(採点Q1!F159="対象外",0,採点Q1!F159)</f>
        <v>0</v>
      </c>
      <c r="Y23" s="653"/>
      <c r="Z23" s="883"/>
      <c r="AA23" s="1"/>
      <c r="AB23" s="622">
        <f>重み!D23</f>
        <v>0</v>
      </c>
      <c r="AC23" s="1"/>
      <c r="AD23" s="622">
        <f>重み!E23</f>
        <v>0</v>
      </c>
      <c r="AE23" s="601"/>
      <c r="AF23" s="554"/>
      <c r="AG23" s="582">
        <f>重み!M23</f>
        <v>0</v>
      </c>
      <c r="AH23" s="568"/>
      <c r="AI23" s="582">
        <f>重み!N23</f>
        <v>0</v>
      </c>
      <c r="AJ23" s="883"/>
      <c r="AK23" s="883"/>
      <c r="AL23" s="883"/>
      <c r="AM23" s="883"/>
      <c r="AN23" s="883"/>
      <c r="AO23" s="883"/>
      <c r="AP23" s="883"/>
      <c r="AQ23" s="883"/>
      <c r="AR23" s="883"/>
      <c r="AS23" s="883"/>
      <c r="AT23" s="883"/>
      <c r="AU23" s="883"/>
      <c r="BM23" s="1"/>
      <c r="BN23" s="1"/>
      <c r="BO23" s="2895" t="str">
        <f t="shared" si="22"/>
        <v/>
      </c>
    </row>
    <row r="24" spans="2:67">
      <c r="B24" s="625"/>
      <c r="C24" s="669"/>
      <c r="D24" s="634">
        <v>2</v>
      </c>
      <c r="E24" s="628" t="s">
        <v>584</v>
      </c>
      <c r="F24" s="670"/>
      <c r="G24" s="3308" t="s">
        <v>4083</v>
      </c>
      <c r="H24" s="3308" t="s">
        <v>4084</v>
      </c>
      <c r="I24" s="2459"/>
      <c r="J24" s="2460"/>
      <c r="K24" s="3614"/>
      <c r="L24" s="3615"/>
      <c r="M24" s="3615"/>
      <c r="N24" s="3615"/>
      <c r="O24" s="3616"/>
      <c r="P24" s="3198">
        <v>3</v>
      </c>
      <c r="Q24" s="651">
        <f t="shared" si="12"/>
        <v>3</v>
      </c>
      <c r="R24" s="638">
        <f t="shared" si="5"/>
        <v>0.25196850393700787</v>
      </c>
      <c r="S24" s="3198"/>
      <c r="T24" s="651">
        <f t="shared" si="13"/>
        <v>3</v>
      </c>
      <c r="U24" s="638">
        <f t="shared" si="7"/>
        <v>0.37499999999999994</v>
      </c>
      <c r="V24" s="620"/>
      <c r="W24" s="554"/>
      <c r="X24" s="652">
        <f>IF(採点Q1!F168="対象外",0,採点Q1!F168)</f>
        <v>3</v>
      </c>
      <c r="Y24" s="653">
        <f>採点Q1!K168</f>
        <v>3</v>
      </c>
      <c r="Z24" s="2445"/>
      <c r="AA24" s="641">
        <f t="shared" ref="AA24:AA30" si="23">IF($AA$3=4,P24,X24)</f>
        <v>3</v>
      </c>
      <c r="AB24" s="622">
        <f>重み!D24</f>
        <v>0.25196850393700787</v>
      </c>
      <c r="AC24" s="641">
        <f t="shared" ref="AC24:AC30" si="24">IF($AA$3=4,S24,Y24)</f>
        <v>3</v>
      </c>
      <c r="AD24" s="622">
        <f>重み!E24</f>
        <v>0.37499999999999994</v>
      </c>
      <c r="AE24" s="601"/>
      <c r="AF24" s="554"/>
      <c r="AG24" s="582">
        <f>重み!M24</f>
        <v>0.25196850393700787</v>
      </c>
      <c r="AH24" s="568"/>
      <c r="AI24" s="582">
        <f>重み!N24</f>
        <v>5.9055118110236211E-3</v>
      </c>
      <c r="AJ24" s="2445"/>
      <c r="AK24" s="2445"/>
      <c r="AL24" s="2445"/>
      <c r="AM24" s="2445"/>
      <c r="AN24" s="2445"/>
      <c r="AO24" s="2445"/>
      <c r="AP24" s="2445"/>
      <c r="AQ24" s="2445"/>
      <c r="AR24" s="2445"/>
      <c r="AS24" s="2445"/>
      <c r="AT24" s="2445"/>
      <c r="AU24" s="2445"/>
      <c r="AV24" s="2445"/>
      <c r="BM24" s="1" t="s">
        <v>3203</v>
      </c>
      <c r="BN24" s="1">
        <f>IF(AND(ISERROR(Q24)=FALSE,ISERROR(R24)=FALSE,ISERROR(T24)=FALSE,ISERROR(U24)=FALSE),IF(OR(AND(Q24&gt;3,R24&gt;0),AND(T24&gt;3,U24&gt;0)),MAX(Q24,T24),0),0)</f>
        <v>0</v>
      </c>
      <c r="BO24" s="2895" t="str">
        <f t="shared" si="22"/>
        <v/>
      </c>
    </row>
    <row r="25" spans="2:67">
      <c r="B25" s="625"/>
      <c r="C25" s="669"/>
      <c r="D25" s="634">
        <v>3</v>
      </c>
      <c r="E25" s="628" t="s">
        <v>585</v>
      </c>
      <c r="F25" s="670"/>
      <c r="G25" s="3308" t="s">
        <v>4085</v>
      </c>
      <c r="H25" s="3304"/>
      <c r="I25" s="2459"/>
      <c r="J25" s="2460"/>
      <c r="K25" s="3614"/>
      <c r="L25" s="3615"/>
      <c r="M25" s="3615"/>
      <c r="N25" s="3615"/>
      <c r="O25" s="3616"/>
      <c r="P25" s="3198">
        <v>3</v>
      </c>
      <c r="Q25" s="651">
        <f t="shared" si="12"/>
        <v>3</v>
      </c>
      <c r="R25" s="638">
        <f t="shared" si="5"/>
        <v>0.36909448818897633</v>
      </c>
      <c r="S25" s="3198"/>
      <c r="T25" s="651">
        <f t="shared" si="13"/>
        <v>0</v>
      </c>
      <c r="U25" s="638">
        <f t="shared" si="7"/>
        <v>0</v>
      </c>
      <c r="V25" s="620"/>
      <c r="W25" s="554"/>
      <c r="X25" s="652">
        <f>IF(採点Q1!F186="対象外",0,採点Q1!F186)</f>
        <v>3</v>
      </c>
      <c r="Y25" s="653"/>
      <c r="Z25" s="2445"/>
      <c r="AA25" s="641">
        <f t="shared" si="23"/>
        <v>3</v>
      </c>
      <c r="AB25" s="622">
        <f>重み!D25</f>
        <v>0.36909448818897633</v>
      </c>
      <c r="AC25" s="641">
        <f t="shared" si="24"/>
        <v>0</v>
      </c>
      <c r="AD25" s="622">
        <f>重み!E25</f>
        <v>0</v>
      </c>
      <c r="AE25" s="601"/>
      <c r="AF25" s="554"/>
      <c r="AG25" s="582">
        <f>重み!M25</f>
        <v>0.36909448818897633</v>
      </c>
      <c r="AH25" s="568"/>
      <c r="AI25" s="582">
        <f>重み!N25</f>
        <v>0</v>
      </c>
      <c r="AJ25" s="2445"/>
      <c r="AK25" s="2445"/>
      <c r="AL25" s="2445"/>
      <c r="AM25" s="2445"/>
      <c r="AN25" s="2445"/>
      <c r="AO25" s="2445"/>
      <c r="AP25" s="2445"/>
      <c r="AQ25" s="2445"/>
      <c r="AR25" s="2445"/>
      <c r="AS25" s="2445"/>
      <c r="AT25" s="2445"/>
      <c r="AU25" s="2445"/>
      <c r="AV25" s="2445"/>
      <c r="BM25" s="1" t="s">
        <v>3204</v>
      </c>
      <c r="BN25" s="1">
        <f>IF(AND(ISERROR(Q25)=FALSE,ISERROR(R25)=FALSE,ISERROR(T25)=FALSE,ISERROR(U25)=FALSE),IF(OR(AND(Q25&gt;3,R25&gt;0),AND(T25&gt;3,U25&gt;0)),MAX(Q25,T25),0),0)</f>
        <v>0</v>
      </c>
      <c r="BO25" s="2895" t="str">
        <f t="shared" si="22"/>
        <v/>
      </c>
    </row>
    <row r="26" spans="2:67" hidden="1">
      <c r="B26" s="625"/>
      <c r="C26" s="669"/>
      <c r="D26" s="682">
        <v>5</v>
      </c>
      <c r="E26" s="683" t="s">
        <v>1573</v>
      </c>
      <c r="F26" s="684"/>
      <c r="G26" s="3309" t="s">
        <v>4085</v>
      </c>
      <c r="H26" s="3305"/>
      <c r="I26" s="2459"/>
      <c r="J26" s="2460"/>
      <c r="K26" s="3614"/>
      <c r="L26" s="3615"/>
      <c r="M26" s="3615"/>
      <c r="N26" s="3615"/>
      <c r="O26" s="3616"/>
      <c r="P26" s="3198">
        <v>0</v>
      </c>
      <c r="Q26" s="651">
        <f t="shared" si="12"/>
        <v>0</v>
      </c>
      <c r="R26" s="3205">
        <f t="shared" si="5"/>
        <v>0</v>
      </c>
      <c r="S26" s="3198"/>
      <c r="T26" s="651">
        <f t="shared" si="13"/>
        <v>0</v>
      </c>
      <c r="U26" s="3205">
        <f t="shared" si="7"/>
        <v>0</v>
      </c>
      <c r="V26" s="3206"/>
      <c r="W26" s="554"/>
      <c r="X26" s="652">
        <f>IF(採点Q1!F195="対象外",0,採点Q1!F195)</f>
        <v>0</v>
      </c>
      <c r="Y26" s="653">
        <f>採点Q1!K195</f>
        <v>0</v>
      </c>
      <c r="Z26" s="883"/>
      <c r="AA26" s="1"/>
      <c r="AB26" s="622">
        <f>重み!D26</f>
        <v>0</v>
      </c>
      <c r="AC26" s="1"/>
      <c r="AD26" s="622">
        <f>重み!E26</f>
        <v>0</v>
      </c>
      <c r="AE26" s="601"/>
      <c r="AF26" s="554"/>
      <c r="AG26" s="582">
        <f>重み!M26</f>
        <v>0</v>
      </c>
      <c r="AH26" s="568"/>
      <c r="AI26" s="582">
        <f>重み!N26</f>
        <v>0</v>
      </c>
      <c r="AJ26" s="883"/>
      <c r="AK26" s="883"/>
      <c r="AL26" s="883"/>
      <c r="AM26" s="883"/>
      <c r="AN26" s="883"/>
      <c r="AO26" s="883"/>
      <c r="AP26" s="883"/>
      <c r="AQ26" s="883"/>
      <c r="AR26" s="883"/>
      <c r="AS26" s="883"/>
      <c r="AT26" s="883"/>
      <c r="AU26" s="883"/>
      <c r="AV26" s="883"/>
      <c r="BM26" s="1"/>
      <c r="BN26" s="1"/>
      <c r="BO26" s="2895" t="str">
        <f t="shared" si="22"/>
        <v/>
      </c>
    </row>
    <row r="27" spans="2:67" hidden="1">
      <c r="B27" s="625"/>
      <c r="C27" s="669"/>
      <c r="D27" s="682">
        <v>6</v>
      </c>
      <c r="E27" s="683" t="s">
        <v>586</v>
      </c>
      <c r="F27" s="684"/>
      <c r="G27" s="3309" t="s">
        <v>4085</v>
      </c>
      <c r="H27" s="3305" t="s">
        <v>4086</v>
      </c>
      <c r="I27" s="2459"/>
      <c r="J27" s="2460"/>
      <c r="K27" s="3614"/>
      <c r="L27" s="3615"/>
      <c r="M27" s="3615"/>
      <c r="N27" s="3615"/>
      <c r="O27" s="3616"/>
      <c r="P27" s="3198">
        <v>0</v>
      </c>
      <c r="Q27" s="651">
        <f t="shared" si="12"/>
        <v>0</v>
      </c>
      <c r="R27" s="3205">
        <f t="shared" si="5"/>
        <v>0</v>
      </c>
      <c r="S27" s="3198"/>
      <c r="T27" s="651">
        <f t="shared" si="13"/>
        <v>0</v>
      </c>
      <c r="U27" s="3205">
        <f t="shared" si="7"/>
        <v>0</v>
      </c>
      <c r="V27" s="3206"/>
      <c r="W27" s="554"/>
      <c r="X27" s="652"/>
      <c r="Y27" s="653">
        <f>採点Q1!F204</f>
        <v>0</v>
      </c>
      <c r="Z27" s="883"/>
      <c r="AA27" s="1"/>
      <c r="AB27" s="622">
        <f>重み!D27</f>
        <v>0</v>
      </c>
      <c r="AC27" s="1"/>
      <c r="AD27" s="622">
        <f>重み!E27</f>
        <v>0</v>
      </c>
      <c r="AE27" s="601"/>
      <c r="AF27" s="554"/>
      <c r="AG27" s="582">
        <f>重み!M27</f>
        <v>0</v>
      </c>
      <c r="AH27" s="568"/>
      <c r="AI27" s="582">
        <f>重み!N27</f>
        <v>0</v>
      </c>
      <c r="AJ27" s="883"/>
      <c r="AK27" s="883"/>
      <c r="AL27" s="883"/>
      <c r="AM27" s="883"/>
      <c r="AN27" s="883"/>
      <c r="AO27" s="883"/>
      <c r="AP27" s="883"/>
      <c r="AQ27" s="883"/>
      <c r="AR27" s="883"/>
      <c r="AS27" s="883"/>
      <c r="AT27" s="883"/>
      <c r="AU27" s="883"/>
      <c r="AV27" s="883"/>
      <c r="BM27" s="1"/>
      <c r="BN27" s="1"/>
      <c r="BO27" s="2895" t="str">
        <f t="shared" si="22"/>
        <v/>
      </c>
    </row>
    <row r="28" spans="2:67" hidden="1">
      <c r="B28" s="625"/>
      <c r="C28" s="669"/>
      <c r="D28" s="682">
        <v>7</v>
      </c>
      <c r="E28" s="683" t="s">
        <v>215</v>
      </c>
      <c r="F28" s="684"/>
      <c r="G28" s="3309" t="s">
        <v>4085</v>
      </c>
      <c r="H28" s="3305" t="s">
        <v>4086</v>
      </c>
      <c r="I28" s="2459"/>
      <c r="J28" s="2460"/>
      <c r="K28" s="3614"/>
      <c r="L28" s="3615"/>
      <c r="M28" s="3615"/>
      <c r="N28" s="3615"/>
      <c r="O28" s="3616"/>
      <c r="P28" s="3198">
        <v>0</v>
      </c>
      <c r="Q28" s="651">
        <f t="shared" si="12"/>
        <v>0</v>
      </c>
      <c r="R28" s="3205">
        <f t="shared" si="5"/>
        <v>0</v>
      </c>
      <c r="S28" s="3198"/>
      <c r="T28" s="651">
        <f t="shared" si="13"/>
        <v>0</v>
      </c>
      <c r="U28" s="3205">
        <f t="shared" si="7"/>
        <v>0</v>
      </c>
      <c r="V28" s="3206"/>
      <c r="W28" s="554"/>
      <c r="X28" s="652">
        <f>IF(採点Q1!F213="対象外",0,採点Q1!F213)</f>
        <v>0</v>
      </c>
      <c r="Y28" s="653"/>
      <c r="Z28" s="883"/>
      <c r="AA28" s="1"/>
      <c r="AB28" s="622">
        <f>重み!D28</f>
        <v>0</v>
      </c>
      <c r="AC28" s="1"/>
      <c r="AD28" s="622">
        <f>重み!E28</f>
        <v>0</v>
      </c>
      <c r="AE28" s="601"/>
      <c r="AF28" s="554"/>
      <c r="AG28" s="582">
        <f>重み!M28</f>
        <v>0</v>
      </c>
      <c r="AH28" s="568"/>
      <c r="AI28" s="582">
        <f>重み!N28</f>
        <v>0</v>
      </c>
      <c r="AJ28" s="883"/>
      <c r="AK28" s="883"/>
      <c r="AL28" s="883"/>
      <c r="AM28" s="883"/>
      <c r="AN28" s="883"/>
      <c r="AO28" s="883"/>
      <c r="AP28" s="883"/>
      <c r="AQ28" s="883"/>
      <c r="AR28" s="883"/>
      <c r="AS28" s="883"/>
      <c r="AT28" s="883"/>
      <c r="AU28" s="883"/>
      <c r="AV28" s="883"/>
      <c r="BM28" s="1"/>
      <c r="BN28" s="1"/>
      <c r="BO28" s="2895" t="str">
        <f t="shared" si="22"/>
        <v/>
      </c>
    </row>
    <row r="29" spans="2:67" hidden="1">
      <c r="B29" s="625"/>
      <c r="C29" s="669"/>
      <c r="D29" s="682">
        <v>8</v>
      </c>
      <c r="E29" s="683" t="s">
        <v>216</v>
      </c>
      <c r="F29" s="684"/>
      <c r="G29" s="3309" t="s">
        <v>4085</v>
      </c>
      <c r="H29" s="3305" t="s">
        <v>4086</v>
      </c>
      <c r="I29" s="2459"/>
      <c r="J29" s="2460"/>
      <c r="K29" s="3614"/>
      <c r="L29" s="3615"/>
      <c r="M29" s="3615"/>
      <c r="N29" s="3615"/>
      <c r="O29" s="3616"/>
      <c r="P29" s="3198">
        <v>0</v>
      </c>
      <c r="Q29" s="651">
        <f t="shared" si="12"/>
        <v>0</v>
      </c>
      <c r="R29" s="3205">
        <f t="shared" si="5"/>
        <v>0</v>
      </c>
      <c r="S29" s="3198"/>
      <c r="T29" s="651">
        <f t="shared" si="13"/>
        <v>0</v>
      </c>
      <c r="U29" s="3205">
        <f t="shared" si="7"/>
        <v>0</v>
      </c>
      <c r="V29" s="3206"/>
      <c r="W29" s="554"/>
      <c r="X29" s="652">
        <f>IF(採点Q1!K213="対象外",0,採点Q1!K213)</f>
        <v>0</v>
      </c>
      <c r="Y29" s="653"/>
      <c r="Z29" s="883"/>
      <c r="AA29" s="1"/>
      <c r="AB29" s="622">
        <f>重み!D29</f>
        <v>0</v>
      </c>
      <c r="AC29" s="1"/>
      <c r="AD29" s="622">
        <f>重み!E29</f>
        <v>0</v>
      </c>
      <c r="AE29" s="601"/>
      <c r="AF29" s="554"/>
      <c r="AG29" s="582">
        <f>重み!M29</f>
        <v>0</v>
      </c>
      <c r="AH29" s="568"/>
      <c r="AI29" s="582">
        <f>重み!N29</f>
        <v>0</v>
      </c>
      <c r="AJ29" s="883"/>
      <c r="AK29" s="883"/>
      <c r="AL29" s="883"/>
      <c r="AM29" s="883"/>
      <c r="AN29" s="883"/>
      <c r="AO29" s="883"/>
      <c r="AP29" s="883"/>
      <c r="AQ29" s="883"/>
      <c r="AR29" s="883"/>
      <c r="AS29" s="883"/>
      <c r="AT29" s="883"/>
      <c r="AU29" s="883"/>
      <c r="AV29" s="883"/>
      <c r="BM29" s="1"/>
      <c r="BN29" s="1"/>
      <c r="BO29" s="2895" t="str">
        <f t="shared" si="22"/>
        <v/>
      </c>
    </row>
    <row r="30" spans="2:67">
      <c r="B30" s="625"/>
      <c r="C30" s="655">
        <v>2.2000000000000002</v>
      </c>
      <c r="D30" s="628" t="s">
        <v>217</v>
      </c>
      <c r="E30" s="671"/>
      <c r="F30" s="670"/>
      <c r="G30" s="3308" t="s">
        <v>4085</v>
      </c>
      <c r="H30" s="3304"/>
      <c r="I30" s="2459"/>
      <c r="J30" s="2460"/>
      <c r="K30" s="3614"/>
      <c r="L30" s="3615"/>
      <c r="M30" s="3615"/>
      <c r="N30" s="3615"/>
      <c r="O30" s="3616"/>
      <c r="P30" s="3207">
        <v>3</v>
      </c>
      <c r="Q30" s="672">
        <f t="shared" si="12"/>
        <v>3</v>
      </c>
      <c r="R30" s="638">
        <f t="shared" si="5"/>
        <v>0.2</v>
      </c>
      <c r="S30" s="3207"/>
      <c r="T30" s="672">
        <f t="shared" si="13"/>
        <v>3</v>
      </c>
      <c r="U30" s="638">
        <f t="shared" si="7"/>
        <v>0.2</v>
      </c>
      <c r="V30" s="620"/>
      <c r="W30" s="554"/>
      <c r="X30" s="652">
        <f>IF(採点Q1!F222="対象外",0,採点Q1!F222)</f>
        <v>3</v>
      </c>
      <c r="Y30" s="653">
        <f>採点Q1!K222</f>
        <v>3</v>
      </c>
      <c r="Z30" s="2445"/>
      <c r="AA30" s="3200">
        <f t="shared" si="23"/>
        <v>3</v>
      </c>
      <c r="AB30" s="622">
        <f>重み!D30</f>
        <v>0.2</v>
      </c>
      <c r="AC30" s="3200">
        <f t="shared" si="24"/>
        <v>3</v>
      </c>
      <c r="AD30" s="622">
        <f>重み!E30</f>
        <v>0.2</v>
      </c>
      <c r="AE30" s="601"/>
      <c r="AF30" s="554"/>
      <c r="AG30" s="582">
        <f>重み!M30</f>
        <v>0.2</v>
      </c>
      <c r="AH30" s="568"/>
      <c r="AI30" s="582">
        <f>重み!N30</f>
        <v>3.1496062992125984E-3</v>
      </c>
      <c r="AJ30" s="2445"/>
      <c r="AK30" s="2445"/>
      <c r="AL30" s="2445"/>
      <c r="AM30" s="2445"/>
      <c r="AN30" s="2445"/>
      <c r="AO30" s="2445"/>
      <c r="AP30" s="2445"/>
      <c r="AQ30" s="2445"/>
      <c r="AR30" s="2445"/>
      <c r="AS30" s="2445"/>
      <c r="AT30" s="2445"/>
      <c r="AU30" s="2445"/>
      <c r="AV30" s="2445"/>
      <c r="BM30" s="1" t="s">
        <v>3205</v>
      </c>
      <c r="BN30" s="1">
        <f>IF(AND(ISERROR(Q30)=FALSE,ISERROR(R30)=FALSE,ISERROR(T30)=FALSE,ISERROR(U30)=FALSE),IF(OR(AND(Q30&gt;3,R30&gt;0),AND(T30&gt;3,U30&gt;0)),MAX(Q30,T30),0),0)</f>
        <v>0</v>
      </c>
      <c r="BO30" s="2895" t="str">
        <f t="shared" si="22"/>
        <v/>
      </c>
    </row>
    <row r="31" spans="2:67" ht="14.25" thickBot="1">
      <c r="B31" s="625"/>
      <c r="C31" s="647">
        <v>2.2999999999999998</v>
      </c>
      <c r="D31" s="628" t="s">
        <v>218</v>
      </c>
      <c r="E31" s="671"/>
      <c r="F31" s="670"/>
      <c r="G31" s="3308" t="s">
        <v>4085</v>
      </c>
      <c r="H31" s="3304"/>
      <c r="I31" s="2459"/>
      <c r="J31" s="2460"/>
      <c r="K31" s="3614"/>
      <c r="L31" s="3615"/>
      <c r="M31" s="3615"/>
      <c r="N31" s="3615"/>
      <c r="O31" s="3616"/>
      <c r="P31" s="3198">
        <v>3</v>
      </c>
      <c r="Q31" s="651">
        <f t="shared" si="12"/>
        <v>4</v>
      </c>
      <c r="R31" s="638">
        <f t="shared" si="5"/>
        <v>0.3</v>
      </c>
      <c r="S31" s="3198"/>
      <c r="T31" s="651">
        <f t="shared" si="13"/>
        <v>1</v>
      </c>
      <c r="U31" s="638">
        <f t="shared" si="7"/>
        <v>0.3</v>
      </c>
      <c r="V31" s="620"/>
      <c r="W31" s="554"/>
      <c r="X31" s="645">
        <f>IF(採点Q1!F239="対象外",0,採点Q1!F239)</f>
        <v>4</v>
      </c>
      <c r="Y31" s="646">
        <f>採点Q1!K239</f>
        <v>1</v>
      </c>
      <c r="Z31" s="2445"/>
      <c r="AA31" s="3200">
        <f>IF($AA$3=4,P31,X31)</f>
        <v>4</v>
      </c>
      <c r="AB31" s="622">
        <f>重み!D31</f>
        <v>0.3</v>
      </c>
      <c r="AC31" s="3200">
        <f>IF($AA$3=4,S31,Y31)</f>
        <v>1</v>
      </c>
      <c r="AD31" s="622">
        <f>重み!E31</f>
        <v>0.3</v>
      </c>
      <c r="AE31" s="601"/>
      <c r="AF31" s="554"/>
      <c r="AG31" s="582">
        <f>重み!M31</f>
        <v>0.3</v>
      </c>
      <c r="AH31" s="568"/>
      <c r="AI31" s="582">
        <f>重み!N31</f>
        <v>4.7244094488188976E-3</v>
      </c>
      <c r="AJ31" s="2445"/>
      <c r="AK31" s="2445"/>
      <c r="AL31" s="2445"/>
      <c r="AM31" s="2445"/>
      <c r="AN31" s="2445"/>
      <c r="AO31" s="2445"/>
      <c r="AP31" s="2445"/>
      <c r="AQ31" s="2445"/>
      <c r="AR31" s="2445"/>
      <c r="AS31" s="2445"/>
      <c r="AT31" s="2445"/>
      <c r="AU31" s="2445"/>
      <c r="AV31" s="2445"/>
      <c r="BM31" s="1" t="s">
        <v>3206</v>
      </c>
      <c r="BN31" s="1">
        <f>IF(AND(ISERROR(Q31)=FALSE,ISERROR(R31)=FALSE,ISERROR(T31)=FALSE,ISERROR(U31)=FALSE),IF(OR(AND(Q31&gt;3,R31&gt;0),AND(T31&gt;3,U31&gt;0)),MAX(Q31,T31),0),0)</f>
        <v>4</v>
      </c>
      <c r="BO31" s="2895" t="str">
        <f t="shared" si="22"/>
        <v/>
      </c>
    </row>
    <row r="32" spans="2:67" s="2445" customFormat="1" ht="15" hidden="1" thickBot="1">
      <c r="B32" s="625"/>
      <c r="C32" s="3209">
        <v>2.2999999999999998</v>
      </c>
      <c r="D32" s="3210" t="s">
        <v>218</v>
      </c>
      <c r="E32" s="671"/>
      <c r="F32" s="670"/>
      <c r="G32" s="3308" t="s">
        <v>4085</v>
      </c>
      <c r="H32" s="3304"/>
      <c r="I32" s="2459"/>
      <c r="J32" s="2460"/>
      <c r="K32" s="2912"/>
      <c r="L32" s="2913"/>
      <c r="M32" s="2913"/>
      <c r="N32" s="2913"/>
      <c r="O32" s="2914"/>
      <c r="P32" s="3198">
        <v>0</v>
      </c>
      <c r="Q32" s="651">
        <f t="shared" si="12"/>
        <v>0</v>
      </c>
      <c r="R32" s="638">
        <f t="shared" si="5"/>
        <v>0</v>
      </c>
      <c r="S32" s="3198"/>
      <c r="T32" s="651">
        <f t="shared" si="13"/>
        <v>0</v>
      </c>
      <c r="U32" s="638">
        <f t="shared" si="7"/>
        <v>0</v>
      </c>
      <c r="V32" s="620"/>
      <c r="W32" s="554"/>
      <c r="X32" s="3208"/>
      <c r="Y32" s="3208"/>
      <c r="AA32" s="621">
        <f>SUMPRODUCT(AA33:AA34,AB33:AB34)</f>
        <v>0</v>
      </c>
      <c r="AB32" s="622">
        <f>重み!D32</f>
        <v>0</v>
      </c>
      <c r="AC32" s="621">
        <f>SUMPRODUCT(AC33:AC34,AD33:AD34)</f>
        <v>0</v>
      </c>
      <c r="AD32" s="622">
        <f>重み!E32</f>
        <v>0</v>
      </c>
      <c r="AE32" s="601"/>
      <c r="AF32" s="554"/>
      <c r="AG32" s="582">
        <f>重み!M32</f>
        <v>0</v>
      </c>
      <c r="AH32" s="568"/>
      <c r="AI32" s="582">
        <f>重み!N33</f>
        <v>0</v>
      </c>
      <c r="BM32" s="1"/>
      <c r="BN32" s="1"/>
      <c r="BO32" s="2895"/>
    </row>
    <row r="33" spans="2:67" ht="14.25" hidden="1" thickBot="1">
      <c r="B33" s="625"/>
      <c r="C33" s="673"/>
      <c r="D33" s="634">
        <v>1</v>
      </c>
      <c r="E33" s="628" t="s">
        <v>219</v>
      </c>
      <c r="F33" s="670"/>
      <c r="G33" s="3303"/>
      <c r="H33" s="3303"/>
      <c r="I33" s="2463"/>
      <c r="J33" s="2464"/>
      <c r="K33" s="3624"/>
      <c r="L33" s="3625"/>
      <c r="M33" s="3625"/>
      <c r="N33" s="3625"/>
      <c r="O33" s="3626"/>
      <c r="P33" s="3198">
        <v>0</v>
      </c>
      <c r="Q33" s="651">
        <f t="shared" si="12"/>
        <v>0</v>
      </c>
      <c r="R33" s="638">
        <f t="shared" si="5"/>
        <v>0</v>
      </c>
      <c r="S33" s="3198"/>
      <c r="T33" s="651">
        <f t="shared" si="13"/>
        <v>0</v>
      </c>
      <c r="U33" s="638">
        <f t="shared" si="7"/>
        <v>0</v>
      </c>
      <c r="V33" s="620"/>
      <c r="W33" s="674"/>
      <c r="X33" s="639">
        <f>採点Q1!F256</f>
        <v>0</v>
      </c>
      <c r="Y33" s="640"/>
      <c r="Z33" s="2445"/>
      <c r="AA33" s="641">
        <f t="shared" ref="AA33:AA34" si="25">IF($AA$3=4,P33,X33)</f>
        <v>0</v>
      </c>
      <c r="AB33" s="622">
        <f>重み!D33</f>
        <v>0</v>
      </c>
      <c r="AC33" s="641">
        <f t="shared" ref="AC33:AC34" si="26">IF($AA$3=4,S33,Y33)</f>
        <v>0</v>
      </c>
      <c r="AD33" s="622">
        <f>重み!E33</f>
        <v>0</v>
      </c>
      <c r="AE33" s="601"/>
      <c r="AF33" s="554"/>
      <c r="AG33" s="582">
        <f>重み!M33</f>
        <v>0</v>
      </c>
      <c r="AH33" s="568"/>
      <c r="AI33" s="582">
        <f>重み!N33</f>
        <v>0</v>
      </c>
      <c r="AJ33" s="2445"/>
      <c r="AK33" s="2445"/>
      <c r="AL33" s="2445"/>
      <c r="AM33" s="2445"/>
      <c r="AN33" s="2445"/>
      <c r="AO33" s="2445"/>
      <c r="AP33" s="2445"/>
      <c r="AQ33" s="2445"/>
      <c r="AR33" s="2445"/>
      <c r="AS33" s="2445"/>
      <c r="AT33" s="2445"/>
      <c r="AU33" s="2404">
        <f t="shared" ref="AU33:AU35" si="27">ROUNDDOWN(AY33,1)</f>
        <v>0</v>
      </c>
      <c r="AV33" s="2445"/>
      <c r="BM33" s="1"/>
      <c r="BN33" s="1"/>
      <c r="BO33" s="2895">
        <f t="shared" si="9"/>
        <v>0</v>
      </c>
    </row>
    <row r="34" spans="2:67" ht="14.25" hidden="1" thickBot="1">
      <c r="B34" s="676"/>
      <c r="C34" s="677"/>
      <c r="D34" s="634">
        <v>2</v>
      </c>
      <c r="E34" s="628" t="s">
        <v>1508</v>
      </c>
      <c r="F34" s="670"/>
      <c r="G34" s="3303"/>
      <c r="H34" s="3303"/>
      <c r="I34" s="2463"/>
      <c r="J34" s="2464"/>
      <c r="K34" s="3624"/>
      <c r="L34" s="3625"/>
      <c r="M34" s="3625"/>
      <c r="N34" s="3625"/>
      <c r="O34" s="3626"/>
      <c r="P34" s="3199">
        <v>0</v>
      </c>
      <c r="Q34" s="656">
        <f t="shared" si="12"/>
        <v>0</v>
      </c>
      <c r="R34" s="638">
        <f t="shared" si="5"/>
        <v>0</v>
      </c>
      <c r="S34" s="3199"/>
      <c r="T34" s="656">
        <f t="shared" si="13"/>
        <v>0</v>
      </c>
      <c r="U34" s="638">
        <f t="shared" si="7"/>
        <v>0</v>
      </c>
      <c r="V34" s="620"/>
      <c r="W34" s="674"/>
      <c r="X34" s="645">
        <f>採点Q1!K256</f>
        <v>0</v>
      </c>
      <c r="Y34" s="646"/>
      <c r="Z34" s="2445"/>
      <c r="AA34" s="641">
        <f t="shared" si="25"/>
        <v>0</v>
      </c>
      <c r="AB34" s="622">
        <f>重み!D34</f>
        <v>0</v>
      </c>
      <c r="AC34" s="641">
        <f t="shared" si="26"/>
        <v>0</v>
      </c>
      <c r="AD34" s="622">
        <f>重み!E34</f>
        <v>0</v>
      </c>
      <c r="AE34" s="601"/>
      <c r="AF34" s="554"/>
      <c r="AG34" s="582">
        <f>重み!M34</f>
        <v>0</v>
      </c>
      <c r="AH34" s="568"/>
      <c r="AI34" s="582">
        <f>重み!N34</f>
        <v>0</v>
      </c>
      <c r="AJ34" s="2445"/>
      <c r="AK34" s="2445"/>
      <c r="AL34" s="2445"/>
      <c r="AM34" s="2445"/>
      <c r="AN34" s="2445"/>
      <c r="AO34" s="2445"/>
      <c r="AP34" s="2445"/>
      <c r="AQ34" s="2445"/>
      <c r="AR34" s="2445"/>
      <c r="AS34" s="2445"/>
      <c r="AT34" s="2445"/>
      <c r="AU34" s="2404">
        <f t="shared" si="27"/>
        <v>0</v>
      </c>
      <c r="AV34" s="2445"/>
      <c r="BM34" s="1"/>
      <c r="BN34" s="1"/>
      <c r="BO34" s="2895">
        <f t="shared" si="9"/>
        <v>0</v>
      </c>
    </row>
    <row r="35" spans="2:67">
      <c r="B35" s="712">
        <v>3</v>
      </c>
      <c r="C35" s="657" t="s">
        <v>1509</v>
      </c>
      <c r="D35" s="726"/>
      <c r="E35" s="664"/>
      <c r="F35" s="665"/>
      <c r="G35" s="3306" t="s">
        <v>4082</v>
      </c>
      <c r="H35" s="3310"/>
      <c r="I35" s="2461"/>
      <c r="J35" s="2462"/>
      <c r="K35" s="2845"/>
      <c r="L35" s="2846"/>
      <c r="M35" s="2846"/>
      <c r="N35" s="2846"/>
      <c r="O35" s="2847"/>
      <c r="P35" s="2252">
        <f>ROUNDDOWN(AA35,1)</f>
        <v>3</v>
      </c>
      <c r="Q35" s="2252">
        <f t="shared" si="12"/>
        <v>3</v>
      </c>
      <c r="R35" s="660">
        <f>AB35</f>
        <v>0.25</v>
      </c>
      <c r="S35" s="2252">
        <f>ROUNDDOWN(AC35,1)</f>
        <v>3</v>
      </c>
      <c r="T35" s="2252">
        <f t="shared" si="13"/>
        <v>3</v>
      </c>
      <c r="U35" s="661">
        <f t="shared" si="7"/>
        <v>1</v>
      </c>
      <c r="V35" s="662">
        <f>ROUNDDOWN(AE35,1)</f>
        <v>3</v>
      </c>
      <c r="W35" s="554"/>
      <c r="X35" s="3201"/>
      <c r="Y35" s="3201"/>
      <c r="Z35" s="2445"/>
      <c r="AA35" s="3202">
        <f>AA36*AB36+AA40*AB40+AA44*AB44+AA47*AB47</f>
        <v>3</v>
      </c>
      <c r="AB35" s="622">
        <f>重み!D35</f>
        <v>0.25</v>
      </c>
      <c r="AC35" s="3202">
        <f>AC36*AD36+AC40*AD40+AC44*AD44+AC47*AD47</f>
        <v>3</v>
      </c>
      <c r="AD35" s="623">
        <f>SUM(AD36,AD40,AD44,AD47)</f>
        <v>1</v>
      </c>
      <c r="AE35" s="601">
        <f>IF(AC35=0,AA35,IF(AA35=0,AC35,AA35*AG$6+AC35*AI$6))</f>
        <v>3.0000000000000004</v>
      </c>
      <c r="AF35" s="554"/>
      <c r="AG35" s="582">
        <f>重み!M35</f>
        <v>0.25</v>
      </c>
      <c r="AH35" s="568"/>
      <c r="AI35" s="623">
        <f>SUM(AI36,AI40,AI44,AI47)</f>
        <v>1.5748031496062992E-2</v>
      </c>
      <c r="AJ35" s="2445"/>
      <c r="AK35" s="3211">
        <v>3</v>
      </c>
      <c r="AL35" s="3211"/>
      <c r="AM35" s="3211"/>
      <c r="AN35" s="3211"/>
      <c r="AO35" s="3211"/>
      <c r="AP35" s="3211">
        <v>0</v>
      </c>
      <c r="AQ35" s="3211"/>
      <c r="AR35" s="3211"/>
      <c r="AS35" s="3211"/>
      <c r="AT35" s="3211"/>
      <c r="AU35" s="2385">
        <f t="shared" si="27"/>
        <v>3</v>
      </c>
      <c r="AV35" s="799">
        <f>R35</f>
        <v>0.25</v>
      </c>
      <c r="AW35" s="662"/>
      <c r="AX35" s="2359"/>
      <c r="AY35" s="2384">
        <f>IF(BA35=0,0,SUMPRODUCT($BB$7:$BK$7,AK35:AT35)/BA35)</f>
        <v>3</v>
      </c>
      <c r="BA35" s="2383">
        <f>SUMPRODUCT($BB$7:$BK$7,BB35:BK35)</f>
        <v>0.98425196850393704</v>
      </c>
      <c r="BB35" s="2369">
        <f t="shared" ref="BB35:BK35" si="28">IF(AK35&gt;0,1,0)</f>
        <v>1</v>
      </c>
      <c r="BC35" s="2369">
        <f t="shared" si="28"/>
        <v>0</v>
      </c>
      <c r="BD35" s="2369">
        <f t="shared" si="28"/>
        <v>0</v>
      </c>
      <c r="BE35" s="2369">
        <f t="shared" si="28"/>
        <v>0</v>
      </c>
      <c r="BF35" s="2369">
        <f t="shared" si="28"/>
        <v>0</v>
      </c>
      <c r="BG35" s="2369">
        <f t="shared" si="28"/>
        <v>0</v>
      </c>
      <c r="BH35" s="2369">
        <f t="shared" si="28"/>
        <v>0</v>
      </c>
      <c r="BI35" s="2369">
        <f t="shared" si="28"/>
        <v>0</v>
      </c>
      <c r="BJ35" s="2369">
        <f t="shared" si="28"/>
        <v>0</v>
      </c>
      <c r="BK35" s="2369">
        <f t="shared" si="28"/>
        <v>0</v>
      </c>
      <c r="BM35" s="1"/>
      <c r="BN35" s="1"/>
      <c r="BO35" s="2895"/>
    </row>
    <row r="36" spans="2:67" ht="14.25" thickBot="1">
      <c r="B36" s="625"/>
      <c r="C36" s="626">
        <v>3.1</v>
      </c>
      <c r="D36" s="663" t="s">
        <v>1510</v>
      </c>
      <c r="E36" s="664"/>
      <c r="F36" s="665"/>
      <c r="G36" s="3303"/>
      <c r="H36" s="3303"/>
      <c r="I36" s="2459"/>
      <c r="J36" s="2460"/>
      <c r="K36" s="2848"/>
      <c r="L36" s="2849"/>
      <c r="M36" s="2849"/>
      <c r="N36" s="2849"/>
      <c r="O36" s="2850"/>
      <c r="P36" s="630">
        <f>ROUNDDOWN(AA36,1)</f>
        <v>3</v>
      </c>
      <c r="Q36" s="630">
        <f t="shared" si="12"/>
        <v>3</v>
      </c>
      <c r="R36" s="666">
        <f>AB36</f>
        <v>0.3</v>
      </c>
      <c r="S36" s="667">
        <f>ROUNDDOWN(AC36,1)</f>
        <v>3</v>
      </c>
      <c r="T36" s="3203">
        <f t="shared" si="13"/>
        <v>3</v>
      </c>
      <c r="U36" s="668">
        <f t="shared" si="7"/>
        <v>0.3</v>
      </c>
      <c r="V36" s="632"/>
      <c r="W36" s="554"/>
      <c r="X36" s="3204"/>
      <c r="Y36" s="3204"/>
      <c r="Z36" s="2445"/>
      <c r="AA36" s="621">
        <f>SUMPRODUCT(AA37:AA39,AB37:AB39)</f>
        <v>3</v>
      </c>
      <c r="AB36" s="622">
        <f>重み!D36</f>
        <v>0.3</v>
      </c>
      <c r="AC36" s="621">
        <f>SUMPRODUCT(AC37:AC39,AD37:AD39)</f>
        <v>3</v>
      </c>
      <c r="AD36" s="622">
        <f>重み!E36</f>
        <v>0.3</v>
      </c>
      <c r="AE36" s="601"/>
      <c r="AF36" s="554"/>
      <c r="AG36" s="582">
        <f>重み!M36</f>
        <v>0.3</v>
      </c>
      <c r="AH36" s="568"/>
      <c r="AI36" s="582">
        <f>重み!N36</f>
        <v>4.7244094488188976E-3</v>
      </c>
      <c r="AJ36" s="2445"/>
      <c r="AK36" s="2445"/>
      <c r="AL36" s="2445"/>
      <c r="AM36" s="2445"/>
      <c r="AN36" s="2445"/>
      <c r="AO36" s="2445"/>
      <c r="AP36" s="2445"/>
      <c r="AQ36" s="2445"/>
      <c r="AR36" s="2445"/>
      <c r="AS36" s="2445"/>
      <c r="AT36" s="2445"/>
      <c r="AU36" s="2445"/>
      <c r="BM36" s="1"/>
      <c r="BN36" s="1"/>
      <c r="BO36" s="2895"/>
    </row>
    <row r="37" spans="2:67">
      <c r="B37" s="625"/>
      <c r="C37" s="669"/>
      <c r="D37" s="634">
        <v>1</v>
      </c>
      <c r="E37" s="628" t="s">
        <v>1511</v>
      </c>
      <c r="F37" s="670"/>
      <c r="G37" s="3308" t="s">
        <v>4087</v>
      </c>
      <c r="H37" s="3304"/>
      <c r="I37" s="2465" t="s">
        <v>2517</v>
      </c>
      <c r="J37" s="2466" t="s">
        <v>2518</v>
      </c>
      <c r="K37" s="3614"/>
      <c r="L37" s="3615"/>
      <c r="M37" s="3615"/>
      <c r="N37" s="3615"/>
      <c r="O37" s="3616"/>
      <c r="P37" s="3212">
        <v>3</v>
      </c>
      <c r="Q37" s="637">
        <f t="shared" si="12"/>
        <v>3</v>
      </c>
      <c r="R37" s="638">
        <f t="shared" ref="R37:R100" si="29">AB37</f>
        <v>1</v>
      </c>
      <c r="S37" s="3197"/>
      <c r="T37" s="637">
        <f t="shared" si="13"/>
        <v>3</v>
      </c>
      <c r="U37" s="638">
        <f t="shared" si="7"/>
        <v>1</v>
      </c>
      <c r="V37" s="620"/>
      <c r="W37" s="554"/>
      <c r="X37" s="639">
        <f>IF(採点Q1!F267="対象外",0,採点Q1!F267)</f>
        <v>3</v>
      </c>
      <c r="Y37" s="640">
        <f>採点Q1!K267</f>
        <v>3</v>
      </c>
      <c r="Z37" s="2445"/>
      <c r="AA37" s="641">
        <f t="shared" ref="AA37:AA39" si="30">IF($AA$3=4,P37,X37)</f>
        <v>3</v>
      </c>
      <c r="AB37" s="622">
        <f>重み!D37</f>
        <v>1</v>
      </c>
      <c r="AC37" s="641">
        <f>IF($AA$3=4,S37,Y37)</f>
        <v>3</v>
      </c>
      <c r="AD37" s="622">
        <f>重み!E37</f>
        <v>1</v>
      </c>
      <c r="AE37" s="601"/>
      <c r="AF37" s="554"/>
      <c r="AG37" s="582">
        <f>重み!M37</f>
        <v>0.6</v>
      </c>
      <c r="AH37" s="568"/>
      <c r="AI37" s="582">
        <f>重み!N37</f>
        <v>7.874015748031496E-3</v>
      </c>
      <c r="AJ37" s="2445"/>
      <c r="AK37" s="2445"/>
      <c r="AL37" s="2445"/>
      <c r="AM37" s="2445"/>
      <c r="AN37" s="2445"/>
      <c r="AO37" s="2445"/>
      <c r="AP37" s="2445"/>
      <c r="AQ37" s="2445"/>
      <c r="AR37" s="2445"/>
      <c r="AS37" s="2445"/>
      <c r="AT37" s="2445"/>
      <c r="AU37" s="2445"/>
      <c r="BM37" s="1" t="s">
        <v>3207</v>
      </c>
      <c r="BN37" s="1">
        <f>IF(AND(ISERROR(Q37)=FALSE,ISERROR(R37)=FALSE,ISERROR(T37)=FALSE,ISERROR(U37)=FALSE),IF(OR(AND(Q37&gt;3,R37&gt;0),AND(T37&gt;3,U37&gt;0)),MAX(Q37,T37),0),0)</f>
        <v>0</v>
      </c>
      <c r="BO37" s="2895" t="str">
        <f t="shared" ref="BO37:BO39" si="31">IF(K37=0,"",K37)</f>
        <v/>
      </c>
    </row>
    <row r="38" spans="2:67">
      <c r="B38" s="625"/>
      <c r="C38" s="669"/>
      <c r="D38" s="634">
        <v>2</v>
      </c>
      <c r="E38" s="628" t="s">
        <v>1512</v>
      </c>
      <c r="F38" s="670"/>
      <c r="G38" s="3308" t="s">
        <v>4088</v>
      </c>
      <c r="H38" s="3304"/>
      <c r="I38" s="2459"/>
      <c r="J38" s="2460"/>
      <c r="K38" s="3614"/>
      <c r="L38" s="3615"/>
      <c r="M38" s="3615"/>
      <c r="N38" s="3615"/>
      <c r="O38" s="3616"/>
      <c r="P38" s="3213">
        <v>0</v>
      </c>
      <c r="Q38" s="651">
        <f t="shared" si="12"/>
        <v>0</v>
      </c>
      <c r="R38" s="638">
        <f t="shared" si="29"/>
        <v>0</v>
      </c>
      <c r="S38" s="3198"/>
      <c r="T38" s="651">
        <f t="shared" si="13"/>
        <v>0</v>
      </c>
      <c r="U38" s="638">
        <f t="shared" si="7"/>
        <v>0</v>
      </c>
      <c r="V38" s="620"/>
      <c r="W38" s="554"/>
      <c r="X38" s="652"/>
      <c r="Y38" s="653">
        <f>採点Q1!F276</f>
        <v>0</v>
      </c>
      <c r="Z38" s="2445"/>
      <c r="AA38" s="641">
        <f t="shared" si="30"/>
        <v>0</v>
      </c>
      <c r="AB38" s="622">
        <f>重み!D38</f>
        <v>0</v>
      </c>
      <c r="AC38" s="641">
        <f>IF($AA$3=4,S38,Y38)</f>
        <v>0</v>
      </c>
      <c r="AD38" s="622">
        <f>重み!E38</f>
        <v>0</v>
      </c>
      <c r="AE38" s="601"/>
      <c r="AF38" s="554"/>
      <c r="AG38" s="582">
        <f>重み!M38</f>
        <v>0</v>
      </c>
      <c r="AH38" s="568"/>
      <c r="AI38" s="582">
        <f>重み!N38</f>
        <v>4.7244094488188976E-3</v>
      </c>
      <c r="AJ38" s="2445"/>
      <c r="AK38" s="2445"/>
      <c r="AL38" s="2445"/>
      <c r="AM38" s="2445"/>
      <c r="AN38" s="2445"/>
      <c r="AO38" s="2445"/>
      <c r="AP38" s="2445"/>
      <c r="AQ38" s="2445"/>
      <c r="AR38" s="2445"/>
      <c r="AS38" s="2445"/>
      <c r="AT38" s="2445"/>
      <c r="AU38" s="2445"/>
      <c r="BM38" s="1" t="s">
        <v>3208</v>
      </c>
      <c r="BN38" s="1">
        <f>IF(AND(ISERROR(Q38)=FALSE,ISERROR(R38)=FALSE,ISERROR(T38)=FALSE,ISERROR(U38)=FALSE),IF(OR(AND(Q38&gt;3,R38&gt;0),AND(T38&gt;3,U38&gt;0)),MAX(Q38,T38),0),0)</f>
        <v>0</v>
      </c>
      <c r="BO38" s="2895" t="str">
        <f t="shared" si="31"/>
        <v/>
      </c>
    </row>
    <row r="39" spans="2:67" ht="14.25" thickBot="1">
      <c r="B39" s="625"/>
      <c r="C39" s="678"/>
      <c r="D39" s="634">
        <v>3</v>
      </c>
      <c r="E39" s="628" t="s">
        <v>1513</v>
      </c>
      <c r="F39" s="670"/>
      <c r="G39" s="3308" t="s">
        <v>4088</v>
      </c>
      <c r="H39" s="3304"/>
      <c r="I39" s="2465" t="s">
        <v>2517</v>
      </c>
      <c r="J39" s="2466" t="s">
        <v>2519</v>
      </c>
      <c r="K39" s="3614"/>
      <c r="L39" s="3615"/>
      <c r="M39" s="3615"/>
      <c r="N39" s="3615"/>
      <c r="O39" s="3616"/>
      <c r="P39" s="3214">
        <v>3</v>
      </c>
      <c r="Q39" s="644">
        <f t="shared" si="12"/>
        <v>0</v>
      </c>
      <c r="R39" s="638">
        <f t="shared" si="29"/>
        <v>0</v>
      </c>
      <c r="S39" s="3215"/>
      <c r="T39" s="644">
        <f t="shared" si="13"/>
        <v>0</v>
      </c>
      <c r="U39" s="638">
        <f t="shared" si="7"/>
        <v>0</v>
      </c>
      <c r="V39" s="620"/>
      <c r="W39" s="554"/>
      <c r="X39" s="645">
        <f>IF(採点Q1!F285="対象外",0,採点Q1!F285)</f>
        <v>0</v>
      </c>
      <c r="Y39" s="646">
        <f>採点Q1!K285</f>
        <v>0</v>
      </c>
      <c r="Z39" s="2445"/>
      <c r="AA39" s="641">
        <f t="shared" si="30"/>
        <v>0</v>
      </c>
      <c r="AB39" s="622">
        <f>重み!D39</f>
        <v>0</v>
      </c>
      <c r="AC39" s="641">
        <f t="shared" ref="AC39" si="32">IF($AA$3=4,S39,Y39)</f>
        <v>0</v>
      </c>
      <c r="AD39" s="622">
        <f>重み!E39</f>
        <v>0</v>
      </c>
      <c r="AE39" s="601"/>
      <c r="AF39" s="554"/>
      <c r="AG39" s="582">
        <f>重み!M39</f>
        <v>0.4</v>
      </c>
      <c r="AH39" s="568"/>
      <c r="AI39" s="582">
        <f>重み!N39</f>
        <v>3.1496062992125984E-3</v>
      </c>
      <c r="AJ39" s="2445"/>
      <c r="AK39" s="2445"/>
      <c r="AL39" s="2445"/>
      <c r="AM39" s="2445"/>
      <c r="AN39" s="2445"/>
      <c r="AO39" s="2445"/>
      <c r="AP39" s="2445"/>
      <c r="AQ39" s="2445"/>
      <c r="AR39" s="2445"/>
      <c r="AS39" s="2445"/>
      <c r="AT39" s="2445"/>
      <c r="AU39" s="2445"/>
      <c r="BM39" s="1" t="s">
        <v>3209</v>
      </c>
      <c r="BN39" s="1">
        <f>IF(AND(ISERROR(Q39)=FALSE,ISERROR(R39)=FALSE,ISERROR(T39)=FALSE,ISERROR(U39)=FALSE),IF(OR(AND(Q39&gt;3,R39&gt;0),AND(T39&gt;3,U39&gt;0)),MAX(Q39,T39),0),0)</f>
        <v>0</v>
      </c>
      <c r="BO39" s="2895" t="str">
        <f t="shared" si="31"/>
        <v/>
      </c>
    </row>
    <row r="40" spans="2:67" ht="14.25" thickBot="1">
      <c r="B40" s="679"/>
      <c r="C40" s="647">
        <v>3.2</v>
      </c>
      <c r="D40" s="627" t="s">
        <v>1514</v>
      </c>
      <c r="E40" s="664"/>
      <c r="F40" s="665"/>
      <c r="G40" s="3311"/>
      <c r="H40" s="3303"/>
      <c r="I40" s="2459"/>
      <c r="J40" s="2460"/>
      <c r="K40" s="2842"/>
      <c r="L40" s="2843"/>
      <c r="M40" s="2843"/>
      <c r="N40" s="2843"/>
      <c r="O40" s="2844"/>
      <c r="P40" s="3196">
        <f>ROUNDDOWN(AA40,1)</f>
        <v>3</v>
      </c>
      <c r="Q40" s="2260">
        <f t="shared" si="12"/>
        <v>3</v>
      </c>
      <c r="R40" s="618">
        <f>AB40</f>
        <v>0.3</v>
      </c>
      <c r="S40" s="681">
        <f>ROUNDDOWN(AC40,1)</f>
        <v>3</v>
      </c>
      <c r="T40" s="2260">
        <f t="shared" si="13"/>
        <v>3</v>
      </c>
      <c r="U40" s="619">
        <f t="shared" si="7"/>
        <v>0.3</v>
      </c>
      <c r="V40" s="620"/>
      <c r="W40" s="554"/>
      <c r="X40" s="3216"/>
      <c r="Y40" s="3216"/>
      <c r="Z40" s="2445"/>
      <c r="AA40" s="621">
        <f>SUMPRODUCT(AA41:AA43,AB41:AB43)</f>
        <v>3</v>
      </c>
      <c r="AB40" s="622">
        <f>重み!D40</f>
        <v>0.3</v>
      </c>
      <c r="AC40" s="621">
        <f>SUMPRODUCT(AC41:AC43,AD41:AD43)</f>
        <v>3</v>
      </c>
      <c r="AD40" s="622">
        <f>重み!E40</f>
        <v>0.3</v>
      </c>
      <c r="AE40" s="601"/>
      <c r="AF40" s="554"/>
      <c r="AG40" s="582">
        <f>重み!M40</f>
        <v>0.3</v>
      </c>
      <c r="AH40" s="568"/>
      <c r="AI40" s="582">
        <f>重み!N40</f>
        <v>4.7244094488188976E-3</v>
      </c>
      <c r="AJ40" s="2445"/>
      <c r="AK40" s="2445"/>
      <c r="AL40" s="2445"/>
      <c r="AM40" s="2445"/>
      <c r="AN40" s="2445"/>
      <c r="AO40" s="2445"/>
      <c r="AP40" s="2445"/>
      <c r="AQ40" s="2445"/>
      <c r="AR40" s="2445"/>
      <c r="AS40" s="2445"/>
      <c r="AT40" s="2445"/>
      <c r="AU40" s="2445"/>
      <c r="BM40" s="1"/>
      <c r="BN40" s="1"/>
      <c r="BO40" s="2895"/>
    </row>
    <row r="41" spans="2:67" hidden="1">
      <c r="B41" s="679"/>
      <c r="C41" s="669"/>
      <c r="D41" s="682">
        <v>1</v>
      </c>
      <c r="E41" s="683" t="s">
        <v>1515</v>
      </c>
      <c r="F41" s="684"/>
      <c r="G41" s="3309"/>
      <c r="H41" s="3305"/>
      <c r="I41" s="2459"/>
      <c r="J41" s="2460"/>
      <c r="K41" s="3614"/>
      <c r="L41" s="3615"/>
      <c r="M41" s="3615"/>
      <c r="N41" s="3615"/>
      <c r="O41" s="3616"/>
      <c r="P41" s="809"/>
      <c r="Q41" s="637">
        <f t="shared" si="12"/>
        <v>0</v>
      </c>
      <c r="R41" s="3205">
        <f t="shared" si="29"/>
        <v>0</v>
      </c>
      <c r="S41" s="637"/>
      <c r="T41" s="637">
        <f t="shared" si="13"/>
        <v>0</v>
      </c>
      <c r="U41" s="3205">
        <f t="shared" si="7"/>
        <v>0</v>
      </c>
      <c r="V41" s="3206"/>
      <c r="W41" s="554"/>
      <c r="X41" s="639">
        <f>IF(採点Q1!F298="対象外",0,採点Q1!F298)</f>
        <v>0</v>
      </c>
      <c r="Y41" s="640">
        <f>採点Q1!K298</f>
        <v>0</v>
      </c>
      <c r="Z41" s="883"/>
      <c r="AA41" s="1"/>
      <c r="AB41" s="622">
        <f>重み!D41</f>
        <v>0</v>
      </c>
      <c r="AC41" s="1"/>
      <c r="AD41" s="622">
        <f>重み!E41</f>
        <v>0</v>
      </c>
      <c r="AE41" s="601"/>
      <c r="AF41" s="554"/>
      <c r="AG41" s="582">
        <f>重み!M41</f>
        <v>0</v>
      </c>
      <c r="AH41" s="568"/>
      <c r="AI41" s="582">
        <f>重み!N41</f>
        <v>0</v>
      </c>
      <c r="AJ41" s="883"/>
      <c r="AK41" s="883"/>
      <c r="AL41" s="883"/>
      <c r="AM41" s="883"/>
      <c r="AN41" s="883"/>
      <c r="AO41" s="883"/>
      <c r="AP41" s="883"/>
      <c r="AQ41" s="883"/>
      <c r="AR41" s="883"/>
      <c r="AS41" s="883"/>
      <c r="AT41" s="883"/>
      <c r="AU41" s="883"/>
      <c r="BM41" s="1"/>
      <c r="BN41" s="1"/>
      <c r="BO41" s="2895">
        <f t="shared" si="9"/>
        <v>0</v>
      </c>
    </row>
    <row r="42" spans="2:67">
      <c r="B42" s="679"/>
      <c r="C42" s="669"/>
      <c r="D42" s="634">
        <v>1</v>
      </c>
      <c r="E42" s="628" t="s">
        <v>1516</v>
      </c>
      <c r="F42" s="670"/>
      <c r="G42" s="3308" t="s">
        <v>4088</v>
      </c>
      <c r="H42" s="3304"/>
      <c r="I42" s="2465" t="s">
        <v>2520</v>
      </c>
      <c r="J42" s="2466" t="s">
        <v>2519</v>
      </c>
      <c r="K42" s="3614"/>
      <c r="L42" s="3615"/>
      <c r="M42" s="3615"/>
      <c r="N42" s="3615"/>
      <c r="O42" s="3616"/>
      <c r="P42" s="3213">
        <v>5</v>
      </c>
      <c r="Q42" s="651">
        <f t="shared" si="12"/>
        <v>3</v>
      </c>
      <c r="R42" s="638">
        <f t="shared" si="29"/>
        <v>1</v>
      </c>
      <c r="S42" s="3207"/>
      <c r="T42" s="672">
        <f t="shared" si="13"/>
        <v>3</v>
      </c>
      <c r="U42" s="638">
        <f t="shared" si="7"/>
        <v>1</v>
      </c>
      <c r="V42" s="620"/>
      <c r="W42" s="554"/>
      <c r="X42" s="652">
        <f>IF(採点Q1!F307="対象外",0,採点Q1!F307)</f>
        <v>3</v>
      </c>
      <c r="Y42" s="653">
        <f>採点Q1!K307</f>
        <v>3</v>
      </c>
      <c r="Z42" s="2445"/>
      <c r="AA42" s="641">
        <f t="shared" ref="AA42:AA47" si="33">IF($AA$3=4,P42,X42)</f>
        <v>3</v>
      </c>
      <c r="AB42" s="622">
        <f>重み!D42</f>
        <v>1</v>
      </c>
      <c r="AC42" s="641">
        <f t="shared" ref="AC42:AC47" si="34">IF($AA$3=4,S42,Y42)</f>
        <v>3</v>
      </c>
      <c r="AD42" s="622">
        <f>重み!E42</f>
        <v>1</v>
      </c>
      <c r="AE42" s="601"/>
      <c r="AF42" s="554"/>
      <c r="AG42" s="582">
        <f>重み!M42</f>
        <v>1</v>
      </c>
      <c r="AH42" s="568"/>
      <c r="AI42" s="582">
        <f>重み!N42</f>
        <v>1.5748031496062992E-2</v>
      </c>
      <c r="AJ42" s="2445"/>
      <c r="AK42" s="2445"/>
      <c r="AL42" s="2445"/>
      <c r="AM42" s="2445"/>
      <c r="AN42" s="2445"/>
      <c r="AO42" s="2445"/>
      <c r="AP42" s="2445"/>
      <c r="AQ42" s="2445"/>
      <c r="AR42" s="2445"/>
      <c r="AS42" s="2445"/>
      <c r="AT42" s="2445"/>
      <c r="AU42" s="2445"/>
      <c r="BM42" s="1" t="s">
        <v>3210</v>
      </c>
      <c r="BN42" s="1">
        <f>IF(AND(ISERROR(Q42)=FALSE,ISERROR(R42)=FALSE,ISERROR(T42)=FALSE,ISERROR(U42)=FALSE),IF(OR(AND(Q42&gt;3,R42&gt;0),AND(T42&gt;3,U42&gt;0)),MAX(Q42,T42),0),0)</f>
        <v>0</v>
      </c>
      <c r="BO42" s="2895" t="str">
        <f t="shared" ref="BO42:BO47" si="35">IF(K42=0,"",K42)</f>
        <v/>
      </c>
    </row>
    <row r="43" spans="2:67" hidden="1">
      <c r="B43" s="679"/>
      <c r="C43" s="678"/>
      <c r="D43" s="682">
        <v>2</v>
      </c>
      <c r="E43" s="683" t="s">
        <v>801</v>
      </c>
      <c r="F43" s="684"/>
      <c r="G43" s="3312"/>
      <c r="H43" s="3304"/>
      <c r="I43" s="2459"/>
      <c r="J43" s="2460"/>
      <c r="K43" s="3614"/>
      <c r="L43" s="3615"/>
      <c r="M43" s="3615"/>
      <c r="N43" s="3615"/>
      <c r="O43" s="3616"/>
      <c r="P43" s="3213">
        <v>0</v>
      </c>
      <c r="Q43" s="651">
        <f t="shared" si="12"/>
        <v>0</v>
      </c>
      <c r="R43" s="638">
        <f t="shared" si="29"/>
        <v>0</v>
      </c>
      <c r="S43" s="3207"/>
      <c r="T43" s="672">
        <f t="shared" si="13"/>
        <v>0</v>
      </c>
      <c r="U43" s="638">
        <f t="shared" si="7"/>
        <v>0</v>
      </c>
      <c r="V43" s="620"/>
      <c r="W43" s="554"/>
      <c r="X43" s="652">
        <f>採点Q1!F319</f>
        <v>0</v>
      </c>
      <c r="Y43" s="653"/>
      <c r="Z43" s="2445"/>
      <c r="AA43" s="641">
        <f t="shared" si="33"/>
        <v>0</v>
      </c>
      <c r="AB43" s="622">
        <f>重み!D43</f>
        <v>0</v>
      </c>
      <c r="AC43" s="641">
        <f t="shared" si="34"/>
        <v>0</v>
      </c>
      <c r="AD43" s="622">
        <f>重み!E43</f>
        <v>0</v>
      </c>
      <c r="AE43" s="601"/>
      <c r="AF43" s="554"/>
      <c r="AG43" s="582">
        <f>重み!M43</f>
        <v>0</v>
      </c>
      <c r="AH43" s="568"/>
      <c r="AI43" s="582">
        <f>重み!N43</f>
        <v>0</v>
      </c>
      <c r="AJ43" s="2445"/>
      <c r="AK43" s="2445"/>
      <c r="AL43" s="2445"/>
      <c r="AM43" s="2445"/>
      <c r="AN43" s="2445"/>
      <c r="AO43" s="2445"/>
      <c r="AP43" s="2445"/>
      <c r="AQ43" s="2445"/>
      <c r="AR43" s="2445"/>
      <c r="AS43" s="2445"/>
      <c r="AT43" s="2445"/>
      <c r="AU43" s="2445"/>
      <c r="BM43" s="1"/>
      <c r="BN43" s="1"/>
      <c r="BO43" s="2895" t="str">
        <f t="shared" si="35"/>
        <v/>
      </c>
    </row>
    <row r="44" spans="2:67">
      <c r="B44" s="685"/>
      <c r="C44" s="626">
        <v>3.3</v>
      </c>
      <c r="D44" s="663" t="s">
        <v>802</v>
      </c>
      <c r="E44" s="663"/>
      <c r="F44" s="686"/>
      <c r="G44" s="3308" t="s">
        <v>4088</v>
      </c>
      <c r="H44" s="3304"/>
      <c r="I44" s="2459"/>
      <c r="J44" s="2460"/>
      <c r="K44" s="3614"/>
      <c r="L44" s="3615"/>
      <c r="M44" s="3615"/>
      <c r="N44" s="3615"/>
      <c r="O44" s="3616"/>
      <c r="P44" s="3217">
        <v>3</v>
      </c>
      <c r="Q44" s="672">
        <f t="shared" si="12"/>
        <v>3</v>
      </c>
      <c r="R44" s="638">
        <f t="shared" si="29"/>
        <v>0.15</v>
      </c>
      <c r="S44" s="3207"/>
      <c r="T44" s="672">
        <f t="shared" si="13"/>
        <v>3</v>
      </c>
      <c r="U44" s="638">
        <f t="shared" si="7"/>
        <v>0.15</v>
      </c>
      <c r="V44" s="620"/>
      <c r="W44" s="554"/>
      <c r="X44" s="652">
        <f>IF(採点Q1!F333="対象外",0,採点Q1!F333)</f>
        <v>3</v>
      </c>
      <c r="Y44" s="653">
        <f>採点Q1!M333</f>
        <v>3</v>
      </c>
      <c r="Z44" s="2445"/>
      <c r="AA44" s="3200">
        <f t="shared" si="33"/>
        <v>3</v>
      </c>
      <c r="AB44" s="622">
        <f>重み!D44</f>
        <v>0.15</v>
      </c>
      <c r="AC44" s="3200">
        <f t="shared" si="34"/>
        <v>3</v>
      </c>
      <c r="AD44" s="622">
        <f>重み!E44</f>
        <v>0.15</v>
      </c>
      <c r="AE44" s="601"/>
      <c r="AF44" s="554"/>
      <c r="AG44" s="582">
        <f>重み!M44</f>
        <v>0.15</v>
      </c>
      <c r="AH44" s="568"/>
      <c r="AI44" s="582">
        <f>重み!N44</f>
        <v>2.3622047244094488E-3</v>
      </c>
      <c r="AJ44" s="2445"/>
      <c r="AK44" s="2445"/>
      <c r="AL44" s="2445"/>
      <c r="AM44" s="2445"/>
      <c r="AN44" s="2445"/>
      <c r="AO44" s="2445"/>
      <c r="AP44" s="2445"/>
      <c r="AQ44" s="2445"/>
      <c r="AR44" s="2445"/>
      <c r="AS44" s="2445"/>
      <c r="AT44" s="2445"/>
      <c r="AU44" s="2445"/>
      <c r="BM44" s="1" t="s">
        <v>3211</v>
      </c>
      <c r="BN44" s="1">
        <f>IF(AND(ISERROR(Q44)=FALSE,ISERROR(R44)=FALSE,ISERROR(T44)=FALSE,ISERROR(U44)=FALSE),IF(OR(AND(Q44&gt;3,R44&gt;0),AND(T44&gt;3,U44&gt;0)),MAX(Q44,T44),0),0)</f>
        <v>0</v>
      </c>
      <c r="BO44" s="2895" t="str">
        <f t="shared" si="35"/>
        <v/>
      </c>
    </row>
    <row r="45" spans="2:67" hidden="1">
      <c r="B45" s="685"/>
      <c r="C45" s="633"/>
      <c r="D45" s="682">
        <v>1</v>
      </c>
      <c r="E45" s="683" t="s">
        <v>803</v>
      </c>
      <c r="F45" s="684"/>
      <c r="G45" s="3309" t="s">
        <v>4088</v>
      </c>
      <c r="H45" s="3313"/>
      <c r="I45" s="2459"/>
      <c r="J45" s="2460"/>
      <c r="K45" s="3614"/>
      <c r="L45" s="3615"/>
      <c r="M45" s="3615"/>
      <c r="N45" s="3615"/>
      <c r="O45" s="3616"/>
      <c r="P45" s="3213">
        <v>0</v>
      </c>
      <c r="Q45" s="651">
        <f t="shared" si="12"/>
        <v>0</v>
      </c>
      <c r="R45" s="3205">
        <f t="shared" si="29"/>
        <v>0</v>
      </c>
      <c r="S45" s="3198"/>
      <c r="T45" s="651">
        <f t="shared" si="13"/>
        <v>0</v>
      </c>
      <c r="U45" s="3205">
        <f t="shared" si="7"/>
        <v>0</v>
      </c>
      <c r="V45" s="3206"/>
      <c r="W45" s="554"/>
      <c r="X45" s="652"/>
      <c r="Y45" s="653"/>
      <c r="Z45" s="883"/>
      <c r="AA45" s="1"/>
      <c r="AB45" s="622">
        <f>重み!D45</f>
        <v>0</v>
      </c>
      <c r="AC45" s="1"/>
      <c r="AD45" s="622">
        <f>重み!E45</f>
        <v>0</v>
      </c>
      <c r="AE45" s="601"/>
      <c r="AF45" s="554"/>
      <c r="AG45" s="582">
        <f>重み!M45</f>
        <v>0</v>
      </c>
      <c r="AH45" s="568"/>
      <c r="AI45" s="582">
        <f>重み!N45</f>
        <v>0</v>
      </c>
      <c r="AJ45" s="883"/>
      <c r="AK45" s="883"/>
      <c r="AL45" s="883"/>
      <c r="AM45" s="883"/>
      <c r="AN45" s="883"/>
      <c r="AO45" s="883"/>
      <c r="AP45" s="883"/>
      <c r="AQ45" s="883"/>
      <c r="AR45" s="883"/>
      <c r="AS45" s="883"/>
      <c r="AT45" s="883"/>
      <c r="AU45" s="883"/>
      <c r="BM45" s="1"/>
      <c r="BN45" s="1"/>
      <c r="BO45" s="2895" t="str">
        <f t="shared" si="35"/>
        <v/>
      </c>
    </row>
    <row r="46" spans="2:67" hidden="1">
      <c r="B46" s="685"/>
      <c r="C46" s="642"/>
      <c r="D46" s="682">
        <v>2</v>
      </c>
      <c r="E46" s="683" t="s">
        <v>804</v>
      </c>
      <c r="F46" s="684"/>
      <c r="G46" s="3309" t="s">
        <v>4088</v>
      </c>
      <c r="H46" s="3313"/>
      <c r="I46" s="2459"/>
      <c r="J46" s="2460"/>
      <c r="K46" s="3614"/>
      <c r="L46" s="3615"/>
      <c r="M46" s="3615"/>
      <c r="N46" s="3615"/>
      <c r="O46" s="3616"/>
      <c r="P46" s="3213">
        <v>0</v>
      </c>
      <c r="Q46" s="651">
        <f t="shared" si="12"/>
        <v>0</v>
      </c>
      <c r="R46" s="3205">
        <f t="shared" si="29"/>
        <v>0</v>
      </c>
      <c r="S46" s="3198"/>
      <c r="T46" s="651">
        <f t="shared" si="13"/>
        <v>0</v>
      </c>
      <c r="U46" s="3205">
        <f t="shared" si="7"/>
        <v>0</v>
      </c>
      <c r="V46" s="3206"/>
      <c r="W46" s="554"/>
      <c r="X46" s="652"/>
      <c r="Y46" s="653"/>
      <c r="Z46" s="883"/>
      <c r="AA46" s="1"/>
      <c r="AB46" s="622">
        <f>重み!D46</f>
        <v>0</v>
      </c>
      <c r="AC46" s="1"/>
      <c r="AD46" s="622">
        <f>重み!E46</f>
        <v>0</v>
      </c>
      <c r="AE46" s="601"/>
      <c r="AF46" s="554"/>
      <c r="AG46" s="582">
        <f>重み!M46</f>
        <v>0</v>
      </c>
      <c r="AH46" s="568"/>
      <c r="AI46" s="582">
        <f>重み!N46</f>
        <v>0</v>
      </c>
      <c r="AJ46" s="883"/>
      <c r="AK46" s="883"/>
      <c r="AL46" s="883"/>
      <c r="AM46" s="883"/>
      <c r="AN46" s="883"/>
      <c r="AO46" s="883"/>
      <c r="AP46" s="883"/>
      <c r="AQ46" s="883"/>
      <c r="AR46" s="883"/>
      <c r="AS46" s="883"/>
      <c r="AT46" s="883"/>
      <c r="AU46" s="883"/>
      <c r="BM46" s="1"/>
      <c r="BN46" s="1"/>
      <c r="BO46" s="2895" t="str">
        <f t="shared" si="35"/>
        <v/>
      </c>
    </row>
    <row r="47" spans="2:67" ht="14.25" thickBot="1">
      <c r="B47" s="687"/>
      <c r="C47" s="655">
        <v>3.4</v>
      </c>
      <c r="D47" s="3617" t="s">
        <v>805</v>
      </c>
      <c r="E47" s="3476"/>
      <c r="F47" s="670"/>
      <c r="G47" s="3308" t="s">
        <v>4088</v>
      </c>
      <c r="H47" s="3304"/>
      <c r="I47" s="2459"/>
      <c r="J47" s="2460"/>
      <c r="K47" s="3614"/>
      <c r="L47" s="3615"/>
      <c r="M47" s="3615"/>
      <c r="N47" s="3615"/>
      <c r="O47" s="3616"/>
      <c r="P47" s="3199">
        <v>3</v>
      </c>
      <c r="Q47" s="656">
        <f t="shared" si="12"/>
        <v>3</v>
      </c>
      <c r="R47" s="638">
        <f t="shared" si="29"/>
        <v>0.25</v>
      </c>
      <c r="S47" s="3199"/>
      <c r="T47" s="656">
        <f t="shared" si="13"/>
        <v>3</v>
      </c>
      <c r="U47" s="638">
        <f t="shared" si="7"/>
        <v>0.25</v>
      </c>
      <c r="V47" s="620"/>
      <c r="W47" s="554"/>
      <c r="X47" s="645">
        <f>IF(採点Q1!F351="対象外",0,採点Q1!F351)</f>
        <v>3</v>
      </c>
      <c r="Y47" s="646">
        <f>採点Q1!K351</f>
        <v>3</v>
      </c>
      <c r="Z47" s="2445"/>
      <c r="AA47" s="3200">
        <f t="shared" si="33"/>
        <v>3</v>
      </c>
      <c r="AB47" s="622">
        <f>重み!D47</f>
        <v>0.25</v>
      </c>
      <c r="AC47" s="3200">
        <f t="shared" si="34"/>
        <v>3</v>
      </c>
      <c r="AD47" s="622">
        <f>重み!E47</f>
        <v>0.25</v>
      </c>
      <c r="AE47" s="601"/>
      <c r="AF47" s="554"/>
      <c r="AG47" s="582">
        <f>重み!M47</f>
        <v>0.25</v>
      </c>
      <c r="AH47" s="568"/>
      <c r="AI47" s="582">
        <f>重み!N47</f>
        <v>3.937007874015748E-3</v>
      </c>
      <c r="AJ47" s="2445"/>
      <c r="AK47" s="2445"/>
      <c r="AL47" s="2445"/>
      <c r="AM47" s="2445"/>
      <c r="AN47" s="2445"/>
      <c r="AO47" s="2445"/>
      <c r="AP47" s="2445"/>
      <c r="AQ47" s="2445"/>
      <c r="AR47" s="2445"/>
      <c r="AS47" s="2445"/>
      <c r="AT47" s="2445"/>
      <c r="AU47" s="2445"/>
      <c r="BM47" s="1" t="s">
        <v>3212</v>
      </c>
      <c r="BN47" s="1">
        <f>IF(AND(ISERROR(Q47)=FALSE,ISERROR(R47)=FALSE,ISERROR(T47)=FALSE,ISERROR(U47)=FALSE),IF(OR(AND(Q47&gt;3,R47&gt;0),AND(T47&gt;3,U47&gt;0)),MAX(Q47,T47),0),0)</f>
        <v>0</v>
      </c>
      <c r="BO47" s="2895" t="str">
        <f t="shared" si="35"/>
        <v/>
      </c>
    </row>
    <row r="48" spans="2:67">
      <c r="B48" s="712">
        <v>4</v>
      </c>
      <c r="C48" s="657" t="s">
        <v>806</v>
      </c>
      <c r="D48" s="726"/>
      <c r="E48" s="664"/>
      <c r="F48" s="665"/>
      <c r="G48" s="3306" t="s">
        <v>4082</v>
      </c>
      <c r="H48" s="3310"/>
      <c r="I48" s="2461"/>
      <c r="J48" s="2462"/>
      <c r="K48" s="2845"/>
      <c r="L48" s="2846"/>
      <c r="M48" s="2846"/>
      <c r="N48" s="2846"/>
      <c r="O48" s="2847"/>
      <c r="P48" s="659">
        <f t="shared" ref="P48:P49" si="36">ROUNDDOWN(AA48,1)</f>
        <v>3</v>
      </c>
      <c r="Q48" s="659">
        <f t="shared" si="12"/>
        <v>3</v>
      </c>
      <c r="R48" s="660">
        <f t="shared" si="29"/>
        <v>0.25</v>
      </c>
      <c r="S48" s="617">
        <f t="shared" ref="S48:S49" si="37">ROUNDDOWN(AC48,1)</f>
        <v>3</v>
      </c>
      <c r="T48" s="617">
        <f t="shared" si="13"/>
        <v>3</v>
      </c>
      <c r="U48" s="661">
        <f t="shared" si="7"/>
        <v>1</v>
      </c>
      <c r="V48" s="662">
        <f>ROUNDDOWN(AE48,1)</f>
        <v>3</v>
      </c>
      <c r="W48" s="554"/>
      <c r="X48" s="3201"/>
      <c r="Y48" s="3201"/>
      <c r="Z48" s="2445"/>
      <c r="AA48" s="3202">
        <f>AA49*AB49+AA54*AB54+AA59*AB59</f>
        <v>3</v>
      </c>
      <c r="AB48" s="622">
        <f>重み!D48</f>
        <v>0.25</v>
      </c>
      <c r="AC48" s="3202">
        <f>AC49*AD49+AC54*AD54+AC59*AD59</f>
        <v>3</v>
      </c>
      <c r="AD48" s="623">
        <f>SUM(AD49,AD54,AD59)</f>
        <v>1</v>
      </c>
      <c r="AE48" s="601">
        <f>IF(AC48=0,AA48,IF(AA48=0,AC48,AA48*AG$6+AC48*AI$6))</f>
        <v>3.0000000000000004</v>
      </c>
      <c r="AF48" s="554"/>
      <c r="AG48" s="582">
        <f>重み!M48</f>
        <v>0.25</v>
      </c>
      <c r="AH48" s="568"/>
      <c r="AI48" s="623">
        <f>SUM(AI49,AI54,AI59)</f>
        <v>1.5748031496062992E-2</v>
      </c>
      <c r="AJ48" s="2445"/>
      <c r="AK48" s="3211">
        <v>3</v>
      </c>
      <c r="AL48" s="3211"/>
      <c r="AM48" s="3211"/>
      <c r="AN48" s="3211"/>
      <c r="AO48" s="3211"/>
      <c r="AP48" s="3211">
        <v>0</v>
      </c>
      <c r="AQ48" s="3211"/>
      <c r="AR48" s="3211"/>
      <c r="AS48" s="3211"/>
      <c r="AT48" s="3211"/>
      <c r="AU48" s="2385">
        <f t="shared" ref="AU48" si="38">ROUNDDOWN(AY48,1)</f>
        <v>3</v>
      </c>
      <c r="AV48" s="799">
        <f>R48</f>
        <v>0.25</v>
      </c>
      <c r="AW48" s="662"/>
      <c r="AX48" s="2359"/>
      <c r="AY48" s="2384">
        <f>IF(BA48=0,0,SUMPRODUCT($BB$7:$BK$7,AK48:AT48)/BA48)</f>
        <v>3</v>
      </c>
      <c r="BA48" s="2383">
        <f>SUMPRODUCT($BB$7:$BK$7,BB48:BK48)</f>
        <v>0.98425196850393704</v>
      </c>
      <c r="BB48" s="2369">
        <f t="shared" ref="BB48:BK48" si="39">IF(AK48&gt;0,1,0)</f>
        <v>1</v>
      </c>
      <c r="BC48" s="2369">
        <f t="shared" si="39"/>
        <v>0</v>
      </c>
      <c r="BD48" s="2369">
        <f t="shared" si="39"/>
        <v>0</v>
      </c>
      <c r="BE48" s="2369">
        <f t="shared" si="39"/>
        <v>0</v>
      </c>
      <c r="BF48" s="2369">
        <f t="shared" si="39"/>
        <v>0</v>
      </c>
      <c r="BG48" s="2369">
        <f t="shared" si="39"/>
        <v>0</v>
      </c>
      <c r="BH48" s="2369">
        <f t="shared" si="39"/>
        <v>0</v>
      </c>
      <c r="BI48" s="2369">
        <f t="shared" si="39"/>
        <v>0</v>
      </c>
      <c r="BJ48" s="2369">
        <f t="shared" si="39"/>
        <v>0</v>
      </c>
      <c r="BK48" s="2369">
        <f t="shared" si="39"/>
        <v>0</v>
      </c>
      <c r="BM48" s="1"/>
      <c r="BN48" s="1"/>
      <c r="BO48" s="2895"/>
    </row>
    <row r="49" spans="2:67" ht="14.25" thickBot="1">
      <c r="B49" s="625"/>
      <c r="C49" s="626">
        <v>4.0999999999999996</v>
      </c>
      <c r="D49" s="663" t="s">
        <v>807</v>
      </c>
      <c r="E49" s="663"/>
      <c r="F49" s="686"/>
      <c r="G49" s="3303"/>
      <c r="H49" s="3303"/>
      <c r="I49" s="2467"/>
      <c r="J49" s="2468"/>
      <c r="K49" s="2842"/>
      <c r="L49" s="2843"/>
      <c r="M49" s="2843"/>
      <c r="N49" s="2843"/>
      <c r="O49" s="2844"/>
      <c r="P49" s="680">
        <f t="shared" si="36"/>
        <v>3</v>
      </c>
      <c r="Q49" s="680">
        <f t="shared" si="12"/>
        <v>3</v>
      </c>
      <c r="R49" s="618">
        <f t="shared" si="29"/>
        <v>0.50157480314960634</v>
      </c>
      <c r="S49" s="681">
        <f t="shared" si="37"/>
        <v>3</v>
      </c>
      <c r="T49" s="3203">
        <f t="shared" si="13"/>
        <v>3</v>
      </c>
      <c r="U49" s="619">
        <f t="shared" si="7"/>
        <v>0.625</v>
      </c>
      <c r="V49" s="620"/>
      <c r="W49" s="554"/>
      <c r="X49" s="3204"/>
      <c r="Y49" s="3204"/>
      <c r="Z49" s="2445"/>
      <c r="AA49" s="621">
        <f>SUMPRODUCT(AA50:AA53,AB50:AB53)</f>
        <v>3</v>
      </c>
      <c r="AB49" s="622">
        <f>重み!D49</f>
        <v>0.50157480314960634</v>
      </c>
      <c r="AC49" s="621">
        <f>SUMPRODUCT(AC50:AC53,AD50:AD53)</f>
        <v>3</v>
      </c>
      <c r="AD49" s="622">
        <f>重み!E49</f>
        <v>0.625</v>
      </c>
      <c r="AE49" s="601"/>
      <c r="AF49" s="554"/>
      <c r="AG49" s="582">
        <f>重み!M49</f>
        <v>0.50157480314960634</v>
      </c>
      <c r="AH49" s="568"/>
      <c r="AI49" s="582">
        <f>重み!N49</f>
        <v>9.8425196850393699E-3</v>
      </c>
      <c r="AJ49" s="2445"/>
      <c r="AK49" s="2445"/>
      <c r="AL49" s="2445"/>
      <c r="AM49" s="2445"/>
      <c r="AN49" s="2445"/>
      <c r="AO49" s="2445"/>
      <c r="AP49" s="2445"/>
      <c r="AQ49" s="2445"/>
      <c r="AR49" s="2445"/>
      <c r="AS49" s="2445"/>
      <c r="AT49" s="2445"/>
      <c r="AU49" s="2445"/>
      <c r="BM49" s="1"/>
      <c r="BN49" s="1"/>
      <c r="BO49" s="2895"/>
    </row>
    <row r="50" spans="2:67" ht="14.25" thickBot="1">
      <c r="B50" s="625"/>
      <c r="C50" s="669"/>
      <c r="D50" s="634">
        <v>1</v>
      </c>
      <c r="E50" s="628" t="s">
        <v>808</v>
      </c>
      <c r="F50" s="670"/>
      <c r="G50" s="3308" t="s">
        <v>4089</v>
      </c>
      <c r="H50" s="3304"/>
      <c r="I50" s="2469"/>
      <c r="J50" s="2470"/>
      <c r="K50" s="3614"/>
      <c r="L50" s="3615"/>
      <c r="M50" s="3615"/>
      <c r="N50" s="3615"/>
      <c r="O50" s="3616"/>
      <c r="P50" s="3197">
        <v>3</v>
      </c>
      <c r="Q50" s="637">
        <f t="shared" si="12"/>
        <v>3</v>
      </c>
      <c r="R50" s="638">
        <f t="shared" si="29"/>
        <v>1</v>
      </c>
      <c r="S50" s="3197"/>
      <c r="T50" s="637">
        <f t="shared" si="13"/>
        <v>3</v>
      </c>
      <c r="U50" s="638">
        <f t="shared" si="7"/>
        <v>1</v>
      </c>
      <c r="V50" s="620"/>
      <c r="W50" s="554"/>
      <c r="X50" s="639">
        <f>IF(採点Q1!F369="対象外",0,採点Q1!F369)</f>
        <v>3</v>
      </c>
      <c r="Y50" s="640">
        <f>採点Q1!K369</f>
        <v>3</v>
      </c>
      <c r="Z50" s="2445"/>
      <c r="AA50" s="641">
        <f>IF($AA$3=4,P50,X50)</f>
        <v>3</v>
      </c>
      <c r="AB50" s="622">
        <f>重み!D50</f>
        <v>1</v>
      </c>
      <c r="AC50" s="641">
        <f>IF($AA$3=4,S50,Y50)</f>
        <v>3</v>
      </c>
      <c r="AD50" s="622">
        <f>重み!E50</f>
        <v>1</v>
      </c>
      <c r="AE50" s="601"/>
      <c r="AF50" s="554"/>
      <c r="AG50" s="582">
        <f>重み!M50</f>
        <v>1</v>
      </c>
      <c r="AH50" s="568"/>
      <c r="AI50" s="582">
        <f>重み!N50</f>
        <v>1.5748031496062992E-2</v>
      </c>
      <c r="AJ50" s="2445"/>
      <c r="AK50" s="2445"/>
      <c r="AL50" s="2445"/>
      <c r="AM50" s="2445"/>
      <c r="AN50" s="2445"/>
      <c r="AO50" s="2445"/>
      <c r="AP50" s="2445"/>
      <c r="AQ50" s="2445"/>
      <c r="AR50" s="2445"/>
      <c r="AS50" s="2445"/>
      <c r="AT50" s="2445"/>
      <c r="AU50" s="2445"/>
      <c r="BM50" s="1" t="s">
        <v>3213</v>
      </c>
      <c r="BN50" s="1">
        <f>IF(AND(ISERROR(Q50)=FALSE,ISERROR(R50)=FALSE,ISERROR(T50)=FALSE,ISERROR(U50)=FALSE),IF(OR(AND(Q50&gt;3,R50&gt;0),AND(T50&gt;3,U50&gt;0)),MAX(Q50,T50),0),0)</f>
        <v>0</v>
      </c>
      <c r="BO50" s="2895" t="str">
        <f t="shared" ref="BO50:BO51" si="40">IF(K50=0,"",K50)</f>
        <v/>
      </c>
    </row>
    <row r="51" spans="2:67" ht="14.25" hidden="1" thickBot="1">
      <c r="B51" s="625"/>
      <c r="C51" s="669"/>
      <c r="D51" s="682">
        <v>2</v>
      </c>
      <c r="E51" s="683" t="s">
        <v>809</v>
      </c>
      <c r="F51" s="684"/>
      <c r="G51" s="3312"/>
      <c r="H51" s="3304"/>
      <c r="I51" s="2459"/>
      <c r="J51" s="2460"/>
      <c r="K51" s="3614"/>
      <c r="L51" s="3615"/>
      <c r="M51" s="3615"/>
      <c r="N51" s="3615"/>
      <c r="O51" s="3616"/>
      <c r="P51" s="3213">
        <v>0</v>
      </c>
      <c r="Q51" s="651">
        <f t="shared" si="12"/>
        <v>0</v>
      </c>
      <c r="R51" s="638">
        <f t="shared" si="29"/>
        <v>0</v>
      </c>
      <c r="S51" s="651"/>
      <c r="T51" s="651">
        <f t="shared" si="13"/>
        <v>0</v>
      </c>
      <c r="U51" s="638">
        <f t="shared" si="7"/>
        <v>0</v>
      </c>
      <c r="V51" s="620"/>
      <c r="W51" s="554"/>
      <c r="X51" s="652">
        <f>採点Q1!F378</f>
        <v>0</v>
      </c>
      <c r="Y51" s="653">
        <f>採点Q1!K378</f>
        <v>0</v>
      </c>
      <c r="Z51" s="2445"/>
      <c r="AA51" s="641">
        <f>IF($AA$3=4,P51,X51)</f>
        <v>0</v>
      </c>
      <c r="AB51" s="622">
        <f>重み!D51</f>
        <v>0</v>
      </c>
      <c r="AC51" s="641">
        <f>IF($AA$3=4,S51,Y51)</f>
        <v>0</v>
      </c>
      <c r="AD51" s="622">
        <f>重み!E51</f>
        <v>0</v>
      </c>
      <c r="AE51" s="601"/>
      <c r="AF51" s="554"/>
      <c r="AG51" s="582">
        <f>重み!M51</f>
        <v>0</v>
      </c>
      <c r="AH51" s="568"/>
      <c r="AI51" s="582">
        <f>重み!N51</f>
        <v>0</v>
      </c>
      <c r="AJ51" s="2445"/>
      <c r="AK51" s="2445"/>
      <c r="AL51" s="2445"/>
      <c r="AM51" s="2445"/>
      <c r="AN51" s="2445"/>
      <c r="AO51" s="2445"/>
      <c r="AP51" s="2445"/>
      <c r="AQ51" s="2445"/>
      <c r="AR51" s="2445"/>
      <c r="AS51" s="2445"/>
      <c r="AT51" s="2445"/>
      <c r="AU51" s="2445"/>
      <c r="BM51" s="1" t="s">
        <v>3214</v>
      </c>
      <c r="BN51" s="1">
        <f>IF(AND(ISERROR(Q51)=FALSE,ISERROR(R51)=FALSE,ISERROR(T51)=FALSE,ISERROR(U51)=FALSE),IF(OR(AND(Q51&gt;3,R51&gt;0),AND(T51&gt;3,U51&gt;0)),MAX(Q51,T51),0),0)</f>
        <v>0</v>
      </c>
      <c r="BO51" s="2895" t="str">
        <f t="shared" si="40"/>
        <v/>
      </c>
    </row>
    <row r="52" spans="2:67" ht="14.25" hidden="1" thickBot="1">
      <c r="B52" s="625"/>
      <c r="C52" s="669"/>
      <c r="D52" s="682">
        <v>3</v>
      </c>
      <c r="E52" s="683" t="s">
        <v>810</v>
      </c>
      <c r="F52" s="684"/>
      <c r="G52" s="3309"/>
      <c r="H52" s="3305"/>
      <c r="I52" s="2459"/>
      <c r="J52" s="2460"/>
      <c r="K52" s="3614"/>
      <c r="L52" s="3615"/>
      <c r="M52" s="3615"/>
      <c r="N52" s="3615"/>
      <c r="O52" s="3616"/>
      <c r="P52" s="3213">
        <v>0</v>
      </c>
      <c r="Q52" s="651">
        <f t="shared" si="12"/>
        <v>0</v>
      </c>
      <c r="R52" s="3205">
        <f t="shared" si="29"/>
        <v>0</v>
      </c>
      <c r="S52" s="651"/>
      <c r="T52" s="651">
        <f t="shared" si="13"/>
        <v>0</v>
      </c>
      <c r="U52" s="3205">
        <f t="shared" si="7"/>
        <v>0</v>
      </c>
      <c r="V52" s="3206"/>
      <c r="W52" s="554"/>
      <c r="X52" s="652">
        <f>IF(採点Q1!F387="対象外",0,採点Q1!F387)</f>
        <v>0</v>
      </c>
      <c r="Y52" s="653">
        <f>採点Q1!K387</f>
        <v>0</v>
      </c>
      <c r="Z52" s="883"/>
      <c r="AA52" s="1"/>
      <c r="AB52" s="622">
        <f>重み!D52</f>
        <v>0</v>
      </c>
      <c r="AC52" s="1"/>
      <c r="AD52" s="622">
        <f>重み!E52</f>
        <v>0</v>
      </c>
      <c r="AE52" s="601"/>
      <c r="AF52" s="554"/>
      <c r="AG52" s="582">
        <f>重み!M52</f>
        <v>0</v>
      </c>
      <c r="AH52" s="568"/>
      <c r="AI52" s="582">
        <f>重み!N52</f>
        <v>0</v>
      </c>
      <c r="AJ52" s="883"/>
      <c r="AK52" s="883"/>
      <c r="AL52" s="883"/>
      <c r="AM52" s="883"/>
      <c r="AN52" s="883"/>
      <c r="AO52" s="883"/>
      <c r="AP52" s="883"/>
      <c r="AQ52" s="883"/>
      <c r="AR52" s="883"/>
      <c r="AS52" s="883"/>
      <c r="AT52" s="883"/>
      <c r="AU52" s="883"/>
      <c r="BM52" s="1"/>
      <c r="BN52" s="1"/>
      <c r="BO52" s="2895">
        <f t="shared" si="9"/>
        <v>0</v>
      </c>
    </row>
    <row r="53" spans="2:67" ht="14.25" hidden="1" thickBot="1">
      <c r="B53" s="625"/>
      <c r="C53" s="678"/>
      <c r="D53" s="682">
        <v>4</v>
      </c>
      <c r="E53" s="683" t="s">
        <v>811</v>
      </c>
      <c r="F53" s="684"/>
      <c r="G53" s="3309"/>
      <c r="H53" s="3305"/>
      <c r="I53" s="2459"/>
      <c r="J53" s="2460"/>
      <c r="K53" s="3614"/>
      <c r="L53" s="3615"/>
      <c r="M53" s="3615"/>
      <c r="N53" s="3615"/>
      <c r="O53" s="3616"/>
      <c r="P53" s="3214">
        <v>0</v>
      </c>
      <c r="Q53" s="644">
        <f t="shared" si="12"/>
        <v>0</v>
      </c>
      <c r="R53" s="3205">
        <f t="shared" si="29"/>
        <v>0</v>
      </c>
      <c r="S53" s="644"/>
      <c r="T53" s="644">
        <f t="shared" si="13"/>
        <v>0</v>
      </c>
      <c r="U53" s="3205">
        <f t="shared" si="7"/>
        <v>0</v>
      </c>
      <c r="V53" s="3206"/>
      <c r="W53" s="554"/>
      <c r="X53" s="645">
        <f>IF(採点Q1!F396="対象外",0,採点Q1!F396)</f>
        <v>0</v>
      </c>
      <c r="Y53" s="646">
        <f>採点Q1!K396</f>
        <v>0</v>
      </c>
      <c r="Z53" s="883"/>
      <c r="AA53" s="1"/>
      <c r="AB53" s="622">
        <f>重み!D53</f>
        <v>0</v>
      </c>
      <c r="AC53" s="1"/>
      <c r="AD53" s="622">
        <f>重み!E53</f>
        <v>0</v>
      </c>
      <c r="AE53" s="601"/>
      <c r="AF53" s="554"/>
      <c r="AG53" s="582">
        <f>重み!M53</f>
        <v>0</v>
      </c>
      <c r="AH53" s="568"/>
      <c r="AI53" s="582">
        <f>重み!N53</f>
        <v>0</v>
      </c>
      <c r="AJ53" s="883"/>
      <c r="AK53" s="883"/>
      <c r="AL53" s="883"/>
      <c r="AM53" s="883"/>
      <c r="AN53" s="883"/>
      <c r="AO53" s="883"/>
      <c r="AP53" s="883"/>
      <c r="AQ53" s="883"/>
      <c r="AR53" s="883"/>
      <c r="AS53" s="883"/>
      <c r="AT53" s="883"/>
      <c r="AU53" s="883"/>
      <c r="BM53" s="1"/>
      <c r="BN53" s="1"/>
      <c r="BO53" s="2895">
        <f t="shared" si="9"/>
        <v>0</v>
      </c>
    </row>
    <row r="54" spans="2:67" ht="14.25" thickBot="1">
      <c r="B54" s="679"/>
      <c r="C54" s="626">
        <v>4.2</v>
      </c>
      <c r="D54" s="663" t="s">
        <v>812</v>
      </c>
      <c r="E54" s="664"/>
      <c r="F54" s="670"/>
      <c r="G54" s="3314"/>
      <c r="H54" s="3303"/>
      <c r="I54" s="2459"/>
      <c r="J54" s="2460"/>
      <c r="K54" s="2842"/>
      <c r="L54" s="2843"/>
      <c r="M54" s="2843"/>
      <c r="N54" s="2843"/>
      <c r="O54" s="2844"/>
      <c r="P54" s="3196">
        <f>ROUNDDOWN(AA54,1)</f>
        <v>3</v>
      </c>
      <c r="Q54" s="2260">
        <f t="shared" si="12"/>
        <v>3</v>
      </c>
      <c r="R54" s="618">
        <f>AB54</f>
        <v>0.30157480314960627</v>
      </c>
      <c r="S54" s="2260">
        <f>ROUNDDOWN(AC54,1)</f>
        <v>3</v>
      </c>
      <c r="T54" s="2260">
        <f t="shared" si="13"/>
        <v>3</v>
      </c>
      <c r="U54" s="619">
        <f t="shared" si="7"/>
        <v>0.375</v>
      </c>
      <c r="V54" s="620"/>
      <c r="W54" s="554"/>
      <c r="X54" s="3216"/>
      <c r="Y54" s="3216"/>
      <c r="Z54" s="2445"/>
      <c r="AA54" s="621">
        <f>SUMPRODUCT(AA55:AA58,AB55:AB58)</f>
        <v>3</v>
      </c>
      <c r="AB54" s="622">
        <f>重み!D54</f>
        <v>0.30157480314960627</v>
      </c>
      <c r="AC54" s="621">
        <f>SUMPRODUCT(AC55:AC58,AD55:AD58)</f>
        <v>3</v>
      </c>
      <c r="AD54" s="622">
        <f>重み!E54</f>
        <v>0.375</v>
      </c>
      <c r="AE54" s="601"/>
      <c r="AF54" s="554"/>
      <c r="AG54" s="582">
        <f>重み!M54</f>
        <v>0.30157480314960627</v>
      </c>
      <c r="AH54" s="568"/>
      <c r="AI54" s="582">
        <f>重み!N54</f>
        <v>5.905511811023622E-3</v>
      </c>
      <c r="AJ54" s="2445"/>
      <c r="AK54" s="2445"/>
      <c r="AL54" s="2445"/>
      <c r="AM54" s="2445"/>
      <c r="AN54" s="2445"/>
      <c r="AO54" s="2445"/>
      <c r="AP54" s="2445"/>
      <c r="AQ54" s="2445"/>
      <c r="AR54" s="2445"/>
      <c r="AS54" s="2445"/>
      <c r="AT54" s="2445"/>
      <c r="AU54" s="2445"/>
      <c r="BM54" s="1"/>
      <c r="BN54" s="1"/>
      <c r="BO54" s="2895"/>
    </row>
    <row r="55" spans="2:67">
      <c r="B55" s="679"/>
      <c r="C55" s="633"/>
      <c r="D55" s="634">
        <v>1</v>
      </c>
      <c r="E55" s="628" t="s">
        <v>813</v>
      </c>
      <c r="F55" s="688"/>
      <c r="G55" s="3308" t="s">
        <v>4090</v>
      </c>
      <c r="H55" s="3304"/>
      <c r="I55" s="2459"/>
      <c r="J55" s="2460"/>
      <c r="K55" s="3614"/>
      <c r="L55" s="3615"/>
      <c r="M55" s="3615"/>
      <c r="N55" s="3615"/>
      <c r="O55" s="3616"/>
      <c r="P55" s="3212">
        <v>3</v>
      </c>
      <c r="Q55" s="637">
        <f t="shared" si="12"/>
        <v>3</v>
      </c>
      <c r="R55" s="638">
        <f t="shared" si="29"/>
        <v>0.33595800524934383</v>
      </c>
      <c r="S55" s="3197"/>
      <c r="T55" s="637">
        <f t="shared" si="13"/>
        <v>3</v>
      </c>
      <c r="U55" s="638">
        <f t="shared" si="7"/>
        <v>0.33333333333333331</v>
      </c>
      <c r="V55" s="620"/>
      <c r="W55" s="554"/>
      <c r="X55" s="639">
        <f>IF(採点Q1!F406="対象外",0,採点Q1!F406)</f>
        <v>3</v>
      </c>
      <c r="Y55" s="640">
        <f>採点Q1!K406</f>
        <v>3</v>
      </c>
      <c r="Z55" s="2445"/>
      <c r="AA55" s="641">
        <f t="shared" ref="AA55:AA57" si="41">IF($AA$3=4,P55,X55)</f>
        <v>3</v>
      </c>
      <c r="AB55" s="622">
        <f>重み!D55</f>
        <v>0.33595800524934383</v>
      </c>
      <c r="AC55" s="641">
        <f t="shared" ref="AC55:AC57" si="42">IF($AA$3=4,S55,Y55)</f>
        <v>3</v>
      </c>
      <c r="AD55" s="622">
        <f>重み!E55</f>
        <v>0.33333333333333331</v>
      </c>
      <c r="AE55" s="601"/>
      <c r="AF55" s="554"/>
      <c r="AG55" s="582">
        <f>重み!M55</f>
        <v>0.33595800524934383</v>
      </c>
      <c r="AH55" s="568"/>
      <c r="AI55" s="582">
        <f>重み!N55</f>
        <v>5.2493438320209973E-3</v>
      </c>
      <c r="AJ55" s="2445"/>
      <c r="AK55" s="2445"/>
      <c r="AL55" s="2445"/>
      <c r="AM55" s="2445"/>
      <c r="AN55" s="2445"/>
      <c r="AO55" s="2445"/>
      <c r="AP55" s="2445"/>
      <c r="AQ55" s="2445"/>
      <c r="AR55" s="2445"/>
      <c r="AS55" s="2445"/>
      <c r="AT55" s="2445"/>
      <c r="AU55" s="2445"/>
      <c r="BM55" s="1" t="s">
        <v>3215</v>
      </c>
      <c r="BN55" s="1">
        <f>IF(AND(ISERROR(Q55)=FALSE,ISERROR(R55)=FALSE,ISERROR(T55)=FALSE,ISERROR(U55)=FALSE),IF(OR(AND(Q55&gt;3,R55&gt;0),AND(T55&gt;3,U55&gt;0)),MAX(Q55,T55),0),0)</f>
        <v>0</v>
      </c>
      <c r="BO55" s="2895" t="str">
        <f t="shared" ref="BO55:BO57" si="43">IF(K55=0,"",K55)</f>
        <v/>
      </c>
    </row>
    <row r="56" spans="2:67">
      <c r="B56" s="679"/>
      <c r="C56" s="633"/>
      <c r="D56" s="634">
        <v>2</v>
      </c>
      <c r="E56" s="628" t="s">
        <v>1945</v>
      </c>
      <c r="F56" s="670"/>
      <c r="G56" s="3308" t="s">
        <v>4090</v>
      </c>
      <c r="H56" s="3303"/>
      <c r="I56" s="2465" t="s">
        <v>2520</v>
      </c>
      <c r="J56" s="2466" t="s">
        <v>2518</v>
      </c>
      <c r="K56" s="3614"/>
      <c r="L56" s="3615"/>
      <c r="M56" s="3615"/>
      <c r="N56" s="3615"/>
      <c r="O56" s="3616"/>
      <c r="P56" s="3213">
        <v>3</v>
      </c>
      <c r="Q56" s="651">
        <f t="shared" si="12"/>
        <v>3</v>
      </c>
      <c r="R56" s="638">
        <f t="shared" si="29"/>
        <v>0.32808398950131235</v>
      </c>
      <c r="S56" s="3198"/>
      <c r="T56" s="651">
        <f t="shared" si="13"/>
        <v>3</v>
      </c>
      <c r="U56" s="638">
        <f t="shared" si="7"/>
        <v>0.33333333333333331</v>
      </c>
      <c r="V56" s="620"/>
      <c r="W56" s="554"/>
      <c r="X56" s="652">
        <f>IF(採点Q1!F415="対象外",0,採点Q1!F415)</f>
        <v>3</v>
      </c>
      <c r="Y56" s="653">
        <f>採点Q1!K415</f>
        <v>3</v>
      </c>
      <c r="Z56" s="2445"/>
      <c r="AA56" s="641">
        <f t="shared" si="41"/>
        <v>3</v>
      </c>
      <c r="AB56" s="622">
        <f>重み!D56</f>
        <v>0.32808398950131235</v>
      </c>
      <c r="AC56" s="641">
        <f t="shared" si="42"/>
        <v>3</v>
      </c>
      <c r="AD56" s="622">
        <f>重み!E56</f>
        <v>0.33333333333333331</v>
      </c>
      <c r="AE56" s="601"/>
      <c r="AF56" s="554"/>
      <c r="AG56" s="582">
        <f>重み!M56</f>
        <v>0.32808398950131235</v>
      </c>
      <c r="AH56" s="568"/>
      <c r="AI56" s="582">
        <f>重み!N56</f>
        <v>5.2493438320209973E-3</v>
      </c>
      <c r="AJ56" s="2445"/>
      <c r="AK56" s="2445"/>
      <c r="AL56" s="2445"/>
      <c r="AM56" s="2445"/>
      <c r="AN56" s="2445"/>
      <c r="AO56" s="2445"/>
      <c r="AP56" s="2445"/>
      <c r="AQ56" s="2445"/>
      <c r="AR56" s="2445"/>
      <c r="AS56" s="2445"/>
      <c r="AT56" s="2445"/>
      <c r="AU56" s="2445"/>
      <c r="BM56" s="1" t="s">
        <v>3216</v>
      </c>
      <c r="BN56" s="1">
        <f>IF(AND(ISERROR(Q56)=FALSE,ISERROR(R56)=FALSE,ISERROR(T56)=FALSE,ISERROR(U56)=FALSE),IF(OR(AND(Q56&gt;3,R56&gt;0),AND(T56&gt;3,U56&gt;0)),MAX(Q56,T56),0),0)</f>
        <v>0</v>
      </c>
      <c r="BO56" s="2895" t="str">
        <f t="shared" si="43"/>
        <v/>
      </c>
    </row>
    <row r="57" spans="2:67" ht="14.25" thickBot="1">
      <c r="B57" s="679"/>
      <c r="C57" s="633"/>
      <c r="D57" s="634">
        <v>3</v>
      </c>
      <c r="E57" s="628" t="s">
        <v>1946</v>
      </c>
      <c r="F57" s="670"/>
      <c r="G57" s="3308" t="s">
        <v>4090</v>
      </c>
      <c r="H57" s="3304"/>
      <c r="I57" s="2459"/>
      <c r="J57" s="2460"/>
      <c r="K57" s="3614"/>
      <c r="L57" s="3615"/>
      <c r="M57" s="3615"/>
      <c r="N57" s="3615"/>
      <c r="O57" s="3616"/>
      <c r="P57" s="3214">
        <v>3</v>
      </c>
      <c r="Q57" s="644">
        <f t="shared" si="12"/>
        <v>3</v>
      </c>
      <c r="R57" s="638">
        <f t="shared" si="29"/>
        <v>0.33595800524934383</v>
      </c>
      <c r="S57" s="3215"/>
      <c r="T57" s="644">
        <f t="shared" si="13"/>
        <v>3</v>
      </c>
      <c r="U57" s="638">
        <f t="shared" si="7"/>
        <v>0.33333333333333331</v>
      </c>
      <c r="V57" s="620"/>
      <c r="W57" s="554"/>
      <c r="X57" s="652">
        <f>IF(採点Q1!F424="対象外",0,採点Q1!F424)</f>
        <v>3</v>
      </c>
      <c r="Y57" s="653">
        <f>採点Q1!K424</f>
        <v>3</v>
      </c>
      <c r="Z57" s="2445"/>
      <c r="AA57" s="641">
        <f t="shared" si="41"/>
        <v>3</v>
      </c>
      <c r="AB57" s="622">
        <f>重み!D57</f>
        <v>0.33595800524934383</v>
      </c>
      <c r="AC57" s="641">
        <f t="shared" si="42"/>
        <v>3</v>
      </c>
      <c r="AD57" s="622">
        <f>重み!E57</f>
        <v>0.33333333333333331</v>
      </c>
      <c r="AE57" s="601"/>
      <c r="AF57" s="554"/>
      <c r="AG57" s="582">
        <f>重み!M57</f>
        <v>0.33595800524934383</v>
      </c>
      <c r="AH57" s="568"/>
      <c r="AI57" s="582">
        <f>重み!N57</f>
        <v>5.2493438320209973E-3</v>
      </c>
      <c r="AJ57" s="2445"/>
      <c r="AK57" s="2445"/>
      <c r="AL57" s="2445"/>
      <c r="AM57" s="2445"/>
      <c r="AN57" s="2445"/>
      <c r="AO57" s="2445"/>
      <c r="AP57" s="2445"/>
      <c r="AQ57" s="2445"/>
      <c r="AR57" s="2445"/>
      <c r="AS57" s="2445"/>
      <c r="AT57" s="2445"/>
      <c r="AU57" s="2445"/>
      <c r="BM57" s="1" t="s">
        <v>3217</v>
      </c>
      <c r="BN57" s="1">
        <f>IF(AND(ISERROR(Q57)=FALSE,ISERROR(R57)=FALSE,ISERROR(T57)=FALSE,ISERROR(U57)=FALSE),IF(OR(AND(Q57&gt;3,R57&gt;0),AND(T57&gt;3,U57&gt;0)),MAX(Q57,T57),0),0)</f>
        <v>0</v>
      </c>
      <c r="BO57" s="2895" t="str">
        <f t="shared" si="43"/>
        <v/>
      </c>
    </row>
    <row r="58" spans="2:67" ht="14.25" hidden="1" thickBot="1">
      <c r="B58" s="679"/>
      <c r="C58" s="642"/>
      <c r="D58" s="682">
        <v>4</v>
      </c>
      <c r="E58" s="683" t="s">
        <v>1947</v>
      </c>
      <c r="F58" s="684"/>
      <c r="G58" s="3309"/>
      <c r="H58" s="3305"/>
      <c r="I58" s="2459"/>
      <c r="J58" s="2460"/>
      <c r="K58" s="3614"/>
      <c r="L58" s="3615"/>
      <c r="M58" s="3615"/>
      <c r="N58" s="3615"/>
      <c r="O58" s="3616"/>
      <c r="P58" s="3214">
        <v>0</v>
      </c>
      <c r="Q58" s="644">
        <f t="shared" si="12"/>
        <v>0</v>
      </c>
      <c r="R58" s="3205">
        <f t="shared" si="29"/>
        <v>0</v>
      </c>
      <c r="S58" s="644"/>
      <c r="T58" s="644">
        <f t="shared" si="13"/>
        <v>0</v>
      </c>
      <c r="U58" s="3205">
        <f t="shared" si="7"/>
        <v>0</v>
      </c>
      <c r="V58" s="3206"/>
      <c r="W58" s="554"/>
      <c r="X58" s="645">
        <f>IF(採点Q1!F433="対象外",0,採点Q1!F433)</f>
        <v>0</v>
      </c>
      <c r="Y58" s="646">
        <f>採点Q1!K433</f>
        <v>0</v>
      </c>
      <c r="Z58" s="2445"/>
      <c r="AA58" s="1"/>
      <c r="AB58" s="622">
        <f>重み!D58</f>
        <v>0</v>
      </c>
      <c r="AC58" s="1"/>
      <c r="AD58" s="622">
        <f>重み!E58</f>
        <v>0</v>
      </c>
      <c r="AE58" s="601"/>
      <c r="AF58" s="554"/>
      <c r="AG58" s="582">
        <f>重み!M58</f>
        <v>0</v>
      </c>
      <c r="AH58" s="568"/>
      <c r="AI58" s="582">
        <f>重み!N58</f>
        <v>0</v>
      </c>
      <c r="AJ58" s="2445"/>
      <c r="AK58" s="883"/>
      <c r="AL58" s="883"/>
      <c r="AM58" s="883"/>
      <c r="AN58" s="883"/>
      <c r="AO58" s="883"/>
      <c r="AP58" s="883"/>
      <c r="AQ58" s="883"/>
      <c r="AR58" s="883"/>
      <c r="AS58" s="883"/>
      <c r="AT58" s="883"/>
      <c r="AU58" s="883"/>
      <c r="BM58" s="1"/>
      <c r="BN58" s="1"/>
      <c r="BO58" s="2895">
        <f t="shared" si="9"/>
        <v>0</v>
      </c>
    </row>
    <row r="59" spans="2:67" ht="14.25" thickBot="1">
      <c r="B59" s="679"/>
      <c r="C59" s="626">
        <v>4.3</v>
      </c>
      <c r="D59" s="663" t="s">
        <v>1948</v>
      </c>
      <c r="E59" s="664"/>
      <c r="F59" s="665"/>
      <c r="G59" s="3311"/>
      <c r="H59" s="3303"/>
      <c r="I59" s="2459"/>
      <c r="J59" s="2460"/>
      <c r="K59" s="2842"/>
      <c r="L59" s="2843"/>
      <c r="M59" s="2843"/>
      <c r="N59" s="2843"/>
      <c r="O59" s="2844"/>
      <c r="P59" s="3196">
        <f>ROUNDDOWN(AA59,1)</f>
        <v>3</v>
      </c>
      <c r="Q59" s="680">
        <f t="shared" si="12"/>
        <v>3</v>
      </c>
      <c r="R59" s="618">
        <f>AB59</f>
        <v>0.19685039370078741</v>
      </c>
      <c r="S59" s="681">
        <f>ROUNDDOWN(AC59,1)</f>
        <v>0</v>
      </c>
      <c r="T59" s="2260">
        <f t="shared" si="13"/>
        <v>0</v>
      </c>
      <c r="U59" s="619">
        <f t="shared" si="7"/>
        <v>0</v>
      </c>
      <c r="V59" s="620"/>
      <c r="W59" s="554"/>
      <c r="X59" s="3216"/>
      <c r="Y59" s="3201"/>
      <c r="Z59" s="2445"/>
      <c r="AA59" s="621">
        <f>SUMPRODUCT(AA60:AA61,AB60:AB61)</f>
        <v>3</v>
      </c>
      <c r="AB59" s="622">
        <f>重み!D59</f>
        <v>0.19685039370078741</v>
      </c>
      <c r="AC59" s="621">
        <f>SUMPRODUCT(AC60:AC61,AD60:AD61)</f>
        <v>0</v>
      </c>
      <c r="AD59" s="622">
        <f>重み!E59</f>
        <v>0</v>
      </c>
      <c r="AE59" s="601"/>
      <c r="AF59" s="554"/>
      <c r="AG59" s="582">
        <f>重み!M59</f>
        <v>0.19685039370078741</v>
      </c>
      <c r="AH59" s="568"/>
      <c r="AI59" s="582">
        <f>重み!N59</f>
        <v>0</v>
      </c>
      <c r="AJ59" s="2445"/>
      <c r="AK59" s="2445"/>
      <c r="AL59" s="2445"/>
      <c r="AM59" s="2445"/>
      <c r="AN59" s="2445"/>
      <c r="AO59" s="2445"/>
      <c r="AP59" s="2445"/>
      <c r="AQ59" s="2445"/>
      <c r="AR59" s="2445"/>
      <c r="AS59" s="2445"/>
      <c r="AT59" s="2445"/>
      <c r="AU59" s="2445"/>
      <c r="BM59" s="1"/>
      <c r="BN59" s="1"/>
      <c r="BO59" s="2895"/>
    </row>
    <row r="60" spans="2:67">
      <c r="B60" s="679"/>
      <c r="C60" s="633"/>
      <c r="D60" s="634">
        <v>1</v>
      </c>
      <c r="E60" s="628" t="s">
        <v>1949</v>
      </c>
      <c r="F60" s="670"/>
      <c r="G60" s="3308" t="s">
        <v>4090</v>
      </c>
      <c r="H60" s="3304"/>
      <c r="I60" s="2459"/>
      <c r="J60" s="2460"/>
      <c r="K60" s="3614"/>
      <c r="L60" s="3615"/>
      <c r="M60" s="3615"/>
      <c r="N60" s="3615"/>
      <c r="O60" s="3616"/>
      <c r="P60" s="3212">
        <v>3</v>
      </c>
      <c r="Q60" s="637">
        <f t="shared" si="12"/>
        <v>3</v>
      </c>
      <c r="R60" s="638">
        <f t="shared" si="29"/>
        <v>0.5</v>
      </c>
      <c r="S60" s="3197"/>
      <c r="T60" s="637">
        <f t="shared" si="13"/>
        <v>0</v>
      </c>
      <c r="U60" s="638">
        <f t="shared" si="7"/>
        <v>0</v>
      </c>
      <c r="V60" s="620"/>
      <c r="W60" s="554"/>
      <c r="X60" s="689">
        <f>IF(採点Q1!F443="対象外",0,採点Q1!F443)</f>
        <v>3</v>
      </c>
      <c r="Y60" s="3218"/>
      <c r="Z60" s="2445"/>
      <c r="AA60" s="641">
        <f t="shared" ref="AA60:AA61" si="44">IF($AA$3=4,P60,X60)</f>
        <v>3</v>
      </c>
      <c r="AB60" s="622">
        <f>重み!D60</f>
        <v>0.5</v>
      </c>
      <c r="AC60" s="641">
        <f t="shared" ref="AC60:AC61" si="45">IF($AA$3=4,S60,Y60)</f>
        <v>0</v>
      </c>
      <c r="AD60" s="622">
        <f>重み!E60</f>
        <v>0</v>
      </c>
      <c r="AE60" s="601"/>
      <c r="AF60" s="554"/>
      <c r="AG60" s="582">
        <f>重み!M60</f>
        <v>0.49212598425196852</v>
      </c>
      <c r="AH60" s="568"/>
      <c r="AI60" s="582">
        <f>重み!N60</f>
        <v>0</v>
      </c>
      <c r="AJ60" s="2445"/>
      <c r="AK60" s="2445"/>
      <c r="AL60" s="2445"/>
      <c r="AM60" s="2445"/>
      <c r="AN60" s="2445"/>
      <c r="AO60" s="2445"/>
      <c r="AP60" s="2445"/>
      <c r="AQ60" s="2445"/>
      <c r="AR60" s="2445"/>
      <c r="AS60" s="2445"/>
      <c r="AT60" s="2445"/>
      <c r="AU60" s="2445"/>
      <c r="BM60" s="1" t="s">
        <v>3218</v>
      </c>
      <c r="BN60" s="1">
        <f>IF(AND(ISERROR(Q60)=FALSE,ISERROR(R60)=FALSE,ISERROR(T60)=FALSE,ISERROR(U60)=FALSE),IF(OR(AND(Q60&gt;3,R60&gt;0),AND(T60&gt;3,U60&gt;0)),MAX(Q60,T60),0),0)</f>
        <v>0</v>
      </c>
      <c r="BO60" s="2895" t="str">
        <f t="shared" ref="BO60:BO61" si="46">IF(K60=0,"",K60)</f>
        <v/>
      </c>
    </row>
    <row r="61" spans="2:67" ht="14.25" thickBot="1">
      <c r="B61" s="679"/>
      <c r="C61" s="633"/>
      <c r="D61" s="729">
        <v>2</v>
      </c>
      <c r="E61" s="627" t="s">
        <v>1950</v>
      </c>
      <c r="F61" s="665"/>
      <c r="G61" s="3308" t="s">
        <v>4090</v>
      </c>
      <c r="H61" s="3304"/>
      <c r="I61" s="2459"/>
      <c r="J61" s="2460"/>
      <c r="K61" s="3614"/>
      <c r="L61" s="3615"/>
      <c r="M61" s="3615"/>
      <c r="N61" s="3615"/>
      <c r="O61" s="3616"/>
      <c r="P61" s="3198">
        <v>3</v>
      </c>
      <c r="Q61" s="651">
        <f t="shared" si="12"/>
        <v>3</v>
      </c>
      <c r="R61" s="638">
        <f t="shared" si="29"/>
        <v>0.5</v>
      </c>
      <c r="S61" s="3215"/>
      <c r="T61" s="644">
        <f t="shared" si="13"/>
        <v>0</v>
      </c>
      <c r="U61" s="638">
        <f t="shared" si="7"/>
        <v>0</v>
      </c>
      <c r="V61" s="620"/>
      <c r="W61" s="554"/>
      <c r="X61" s="711">
        <f>IF(採点Q1!K443="対象外",0,採点Q1!K443)</f>
        <v>3</v>
      </c>
      <c r="Y61" s="3218"/>
      <c r="Z61" s="2445"/>
      <c r="AA61" s="641">
        <f t="shared" si="44"/>
        <v>3</v>
      </c>
      <c r="AB61" s="622">
        <f>重み!D61</f>
        <v>0.5</v>
      </c>
      <c r="AC61" s="641">
        <f t="shared" si="45"/>
        <v>0</v>
      </c>
      <c r="AD61" s="622">
        <f>重み!E61</f>
        <v>0</v>
      </c>
      <c r="AE61" s="601"/>
      <c r="AF61" s="554"/>
      <c r="AG61" s="582">
        <f>重み!M61</f>
        <v>0.49212598425196852</v>
      </c>
      <c r="AH61" s="568"/>
      <c r="AI61" s="582">
        <f>重み!N61</f>
        <v>0</v>
      </c>
      <c r="AJ61" s="2445"/>
      <c r="AK61" s="2445"/>
      <c r="AL61" s="2445"/>
      <c r="AM61" s="2445"/>
      <c r="AN61" s="2445"/>
      <c r="AO61" s="2445"/>
      <c r="AP61" s="2445"/>
      <c r="AQ61" s="2445"/>
      <c r="AR61" s="2445"/>
      <c r="AS61" s="2445"/>
      <c r="AT61" s="2445"/>
      <c r="AU61" s="2445"/>
      <c r="BM61" s="1" t="s">
        <v>3219</v>
      </c>
      <c r="BN61" s="1">
        <f>IF(AND(ISERROR(Q61)=FALSE,ISERROR(R61)=FALSE,ISERROR(T61)=FALSE,ISERROR(U61)=FALSE),IF(OR(AND(Q61&gt;3,R61&gt;0),AND(T61&gt;3,U61&gt;0)),MAX(Q61,T61),0),0)</f>
        <v>0</v>
      </c>
      <c r="BO61" s="2895" t="str">
        <f t="shared" si="46"/>
        <v/>
      </c>
    </row>
    <row r="62" spans="2:67" ht="15.75" thickBot="1">
      <c r="B62" s="696" t="s">
        <v>1574</v>
      </c>
      <c r="C62" s="697" t="s">
        <v>1575</v>
      </c>
      <c r="D62" s="698"/>
      <c r="E62" s="698"/>
      <c r="F62" s="699"/>
      <c r="G62" s="3315"/>
      <c r="H62" s="3315"/>
      <c r="I62" s="2471"/>
      <c r="J62" s="2472"/>
      <c r="K62" s="2851"/>
      <c r="L62" s="2852"/>
      <c r="M62" s="2852"/>
      <c r="N62" s="2852"/>
      <c r="O62" s="2853"/>
      <c r="P62" s="700"/>
      <c r="Q62" s="700">
        <f t="shared" si="12"/>
        <v>0</v>
      </c>
      <c r="R62" s="701">
        <f t="shared" si="29"/>
        <v>0.3</v>
      </c>
      <c r="S62" s="702"/>
      <c r="T62" s="3219">
        <f t="shared" si="13"/>
        <v>0</v>
      </c>
      <c r="U62" s="703">
        <f t="shared" si="7"/>
        <v>0</v>
      </c>
      <c r="V62" s="704">
        <f>ROUNDDOWN(AE62,1)</f>
        <v>3</v>
      </c>
      <c r="W62" s="554"/>
      <c r="X62" s="3201"/>
      <c r="Y62" s="3201"/>
      <c r="Z62" s="2445"/>
      <c r="AA62" s="675"/>
      <c r="AB62" s="610">
        <f>重み!D62</f>
        <v>0.3</v>
      </c>
      <c r="AC62" s="675"/>
      <c r="AD62" s="610"/>
      <c r="AE62" s="3220">
        <f>AE63*AB63+AE78*AB78+AE100*AB100</f>
        <v>3.0000000000000009</v>
      </c>
      <c r="AF62" s="554"/>
      <c r="AG62" s="582">
        <f>重み!M62</f>
        <v>0.3</v>
      </c>
      <c r="AH62" s="568"/>
      <c r="AI62" s="582">
        <f>重み!N62</f>
        <v>0</v>
      </c>
      <c r="AJ62" s="2445"/>
      <c r="AK62" s="3221"/>
      <c r="AL62" s="3221"/>
      <c r="AM62" s="3221"/>
      <c r="AN62" s="3221"/>
      <c r="AO62" s="3221"/>
      <c r="AP62" s="3221"/>
      <c r="AQ62" s="3221"/>
      <c r="AR62" s="3221"/>
      <c r="AS62" s="3221"/>
      <c r="AT62" s="3222"/>
      <c r="AU62" s="2391"/>
      <c r="AV62" s="2392">
        <f>R62</f>
        <v>0.3</v>
      </c>
      <c r="AW62" s="704">
        <f t="shared" ref="AW62" si="47">ROUNDDOWN(AY62,1)</f>
        <v>3.8</v>
      </c>
      <c r="AX62" s="2359"/>
      <c r="AY62" s="2384">
        <f>SUMPRODUCT(AV63:AV111,AY63:AY111)</f>
        <v>3.8</v>
      </c>
      <c r="BA62" s="2383">
        <f>SUMPRODUCT($BB$7:$BK$7,BB62:BK62)</f>
        <v>0</v>
      </c>
      <c r="BB62" s="2369">
        <f t="shared" ref="BB62:BK63" si="48">IF(AK62&gt;0,1,0)</f>
        <v>0</v>
      </c>
      <c r="BC62" s="2369">
        <f t="shared" si="48"/>
        <v>0</v>
      </c>
      <c r="BD62" s="2369">
        <f t="shared" si="48"/>
        <v>0</v>
      </c>
      <c r="BE62" s="2369">
        <f t="shared" si="48"/>
        <v>0</v>
      </c>
      <c r="BF62" s="2369">
        <f t="shared" si="48"/>
        <v>0</v>
      </c>
      <c r="BG62" s="2369">
        <f t="shared" si="48"/>
        <v>0</v>
      </c>
      <c r="BH62" s="2369">
        <f t="shared" si="48"/>
        <v>0</v>
      </c>
      <c r="BI62" s="2369">
        <f t="shared" si="48"/>
        <v>0</v>
      </c>
      <c r="BJ62" s="2369">
        <f t="shared" si="48"/>
        <v>0</v>
      </c>
      <c r="BK62" s="2369">
        <f t="shared" si="48"/>
        <v>0</v>
      </c>
      <c r="BM62" s="1"/>
      <c r="BN62" s="1"/>
      <c r="BO62" s="2895"/>
    </row>
    <row r="63" spans="2:67">
      <c r="B63" s="612">
        <v>1</v>
      </c>
      <c r="C63" s="705" t="s">
        <v>1951</v>
      </c>
      <c r="D63" s="706"/>
      <c r="E63" s="658"/>
      <c r="F63" s="616"/>
      <c r="G63" s="3316" t="s">
        <v>4082</v>
      </c>
      <c r="H63" s="3317"/>
      <c r="I63" s="2457"/>
      <c r="J63" s="2458"/>
      <c r="K63" s="2854"/>
      <c r="L63" s="2855"/>
      <c r="M63" s="2855"/>
      <c r="N63" s="2855"/>
      <c r="O63" s="2856"/>
      <c r="P63" s="659">
        <f t="shared" ref="P63:P64" si="49">ROUNDDOWN(AA63,1)</f>
        <v>3</v>
      </c>
      <c r="Q63" s="659">
        <f t="shared" si="12"/>
        <v>3</v>
      </c>
      <c r="R63" s="707">
        <f t="shared" si="29"/>
        <v>0.4</v>
      </c>
      <c r="S63" s="3223">
        <f t="shared" ref="S63:S64" si="50">ROUNDDOWN(AC63,1)</f>
        <v>3</v>
      </c>
      <c r="T63" s="617">
        <f t="shared" si="13"/>
        <v>3</v>
      </c>
      <c r="U63" s="708">
        <f t="shared" si="7"/>
        <v>1</v>
      </c>
      <c r="V63" s="709">
        <f>ROUNDDOWN(AE63,1)</f>
        <v>3</v>
      </c>
      <c r="W63" s="554"/>
      <c r="X63" s="3224"/>
      <c r="Y63" s="3224"/>
      <c r="Z63" s="2445"/>
      <c r="AA63" s="3202">
        <f>AA64*AB64+AA68*AB68+AA74*AB74</f>
        <v>3</v>
      </c>
      <c r="AB63" s="622">
        <f>重み!D63</f>
        <v>0.4</v>
      </c>
      <c r="AC63" s="3202">
        <f>AC64*AD64+AC68*AD68+AC74*AD74</f>
        <v>3</v>
      </c>
      <c r="AD63" s="623">
        <f>SUM(AD64,AD68,AD74)</f>
        <v>1</v>
      </c>
      <c r="AE63" s="601">
        <f>IF(AC63=0,AA63,IF(AA63=0,AC63,AA63*AG$6+AC63*AI$6))</f>
        <v>3.0000000000000004</v>
      </c>
      <c r="AF63" s="554"/>
      <c r="AG63" s="582">
        <f>重み!M63</f>
        <v>0.4</v>
      </c>
      <c r="AH63" s="568"/>
      <c r="AI63" s="623">
        <f>SUM(AI64,AI68,AI74)</f>
        <v>1.5748031496062992E-2</v>
      </c>
      <c r="AJ63" s="2445"/>
      <c r="AK63" s="3211">
        <v>5</v>
      </c>
      <c r="AL63" s="3211"/>
      <c r="AM63" s="3211"/>
      <c r="AN63" s="3211"/>
      <c r="AO63" s="3211"/>
      <c r="AP63" s="3211">
        <v>0</v>
      </c>
      <c r="AQ63" s="3211"/>
      <c r="AR63" s="3211"/>
      <c r="AS63" s="3211"/>
      <c r="AT63" s="3211"/>
      <c r="AU63" s="2385">
        <f t="shared" ref="AU63:AU100" si="51">ROUNDDOWN(AY63,1)</f>
        <v>5</v>
      </c>
      <c r="AV63" s="799">
        <f>R63</f>
        <v>0.4</v>
      </c>
      <c r="AW63" s="662"/>
      <c r="AX63" s="2359"/>
      <c r="AY63" s="2384">
        <f>IF(BA63=0,0,SUMPRODUCT($BB$7:$BK$7,AK63:AT63)/BA63)</f>
        <v>5</v>
      </c>
      <c r="BA63" s="2383">
        <f>SUMPRODUCT($BB$7:$BK$7,BB63:BK63)</f>
        <v>0.98425196850393704</v>
      </c>
      <c r="BB63" s="2369">
        <f t="shared" si="48"/>
        <v>1</v>
      </c>
      <c r="BC63" s="2369">
        <f t="shared" si="48"/>
        <v>0</v>
      </c>
      <c r="BD63" s="2369">
        <f t="shared" si="48"/>
        <v>0</v>
      </c>
      <c r="BE63" s="2369">
        <f t="shared" si="48"/>
        <v>0</v>
      </c>
      <c r="BF63" s="2369">
        <f t="shared" si="48"/>
        <v>0</v>
      </c>
      <c r="BG63" s="2369">
        <f t="shared" si="48"/>
        <v>0</v>
      </c>
      <c r="BH63" s="2369">
        <f t="shared" si="48"/>
        <v>0</v>
      </c>
      <c r="BI63" s="2369">
        <f t="shared" si="48"/>
        <v>0</v>
      </c>
      <c r="BJ63" s="2369">
        <f t="shared" si="48"/>
        <v>0</v>
      </c>
      <c r="BK63" s="2369">
        <f t="shared" si="48"/>
        <v>0</v>
      </c>
      <c r="BM63" s="1"/>
      <c r="BN63" s="1"/>
      <c r="BO63" s="2895"/>
    </row>
    <row r="64" spans="2:67" ht="14.25" thickBot="1">
      <c r="B64" s="679"/>
      <c r="C64" s="647">
        <v>1.1000000000000001</v>
      </c>
      <c r="D64" s="627" t="s">
        <v>1952</v>
      </c>
      <c r="E64" s="664"/>
      <c r="F64" s="665"/>
      <c r="G64" s="3303"/>
      <c r="H64" s="3303"/>
      <c r="I64" s="2459"/>
      <c r="J64" s="2460"/>
      <c r="K64" s="2842"/>
      <c r="L64" s="2843"/>
      <c r="M64" s="2843"/>
      <c r="N64" s="2843"/>
      <c r="O64" s="2844"/>
      <c r="P64" s="680">
        <f t="shared" si="49"/>
        <v>3</v>
      </c>
      <c r="Q64" s="680">
        <f t="shared" si="12"/>
        <v>3</v>
      </c>
      <c r="R64" s="618">
        <f t="shared" si="29"/>
        <v>0.4</v>
      </c>
      <c r="S64" s="681">
        <f t="shared" si="50"/>
        <v>3</v>
      </c>
      <c r="T64" s="807">
        <f t="shared" si="13"/>
        <v>3</v>
      </c>
      <c r="U64" s="619">
        <f t="shared" si="7"/>
        <v>0.6</v>
      </c>
      <c r="V64" s="620"/>
      <c r="W64" s="554"/>
      <c r="X64" s="3204"/>
      <c r="Y64" s="3204"/>
      <c r="Z64" s="2445"/>
      <c r="AA64" s="621">
        <f>SUMPRODUCT(AA65:AA67,AB65:AB67)</f>
        <v>3</v>
      </c>
      <c r="AB64" s="622">
        <f>重み!D64</f>
        <v>0.4</v>
      </c>
      <c r="AC64" s="621">
        <f>SUMPRODUCT(AC65:AC67,AD65:AD67)</f>
        <v>3</v>
      </c>
      <c r="AD64" s="622">
        <f>重み!E64</f>
        <v>0.6</v>
      </c>
      <c r="AE64" s="601"/>
      <c r="AF64" s="554"/>
      <c r="AG64" s="582">
        <f>重み!M64</f>
        <v>0.4</v>
      </c>
      <c r="AH64" s="568"/>
      <c r="AI64" s="582">
        <f>重み!N64</f>
        <v>9.4488188976377951E-3</v>
      </c>
      <c r="AJ64" s="2445"/>
      <c r="AK64" s="2445"/>
      <c r="AL64" s="2445"/>
      <c r="AM64" s="2445"/>
      <c r="AN64" s="2445"/>
      <c r="AO64" s="2445"/>
      <c r="AP64" s="2445"/>
      <c r="AQ64" s="2445"/>
      <c r="AR64" s="2445"/>
      <c r="AS64" s="2445"/>
      <c r="AT64" s="2445"/>
      <c r="AU64" s="2445"/>
      <c r="BM64" s="1"/>
      <c r="BN64" s="1"/>
      <c r="BO64" s="2895"/>
    </row>
    <row r="65" spans="2:67">
      <c r="B65" s="679"/>
      <c r="C65" s="633"/>
      <c r="D65" s="634">
        <v>1</v>
      </c>
      <c r="E65" s="628" t="s">
        <v>1778</v>
      </c>
      <c r="F65" s="670"/>
      <c r="G65" s="3308" t="s">
        <v>4091</v>
      </c>
      <c r="H65" s="3305"/>
      <c r="I65" s="2459"/>
      <c r="J65" s="2460"/>
      <c r="K65" s="3614"/>
      <c r="L65" s="3615"/>
      <c r="M65" s="3615"/>
      <c r="N65" s="3615"/>
      <c r="O65" s="3616"/>
      <c r="P65" s="3197">
        <v>3</v>
      </c>
      <c r="Q65" s="637">
        <f t="shared" si="12"/>
        <v>3</v>
      </c>
      <c r="R65" s="638">
        <f t="shared" si="29"/>
        <v>0.32808398950131235</v>
      </c>
      <c r="S65" s="3197"/>
      <c r="T65" s="637">
        <f t="shared" si="13"/>
        <v>3</v>
      </c>
      <c r="U65" s="638">
        <f t="shared" si="7"/>
        <v>0</v>
      </c>
      <c r="V65" s="620"/>
      <c r="W65" s="554"/>
      <c r="X65" s="639">
        <f>IF(採点Q2!F9="対象外",0,採点Q2!F9)</f>
        <v>3</v>
      </c>
      <c r="Y65" s="640">
        <f>採点Q2!K9</f>
        <v>3</v>
      </c>
      <c r="Z65" s="2445"/>
      <c r="AA65" s="641">
        <f t="shared" ref="AA65:AA67" si="52">IF($AA$3=4,P65,X65)</f>
        <v>3</v>
      </c>
      <c r="AB65" s="622">
        <f>重み!D65</f>
        <v>0.32808398950131235</v>
      </c>
      <c r="AC65" s="641">
        <f t="shared" ref="AC65:AC67" si="53">IF($AA$3=4,S65,Y65)</f>
        <v>3</v>
      </c>
      <c r="AD65" s="622">
        <f>重み!E65</f>
        <v>0</v>
      </c>
      <c r="AE65" s="601"/>
      <c r="AF65" s="554"/>
      <c r="AG65" s="582">
        <f>重み!M65</f>
        <v>0.32808398950131235</v>
      </c>
      <c r="AH65" s="568"/>
      <c r="AI65" s="582">
        <f>重み!N65</f>
        <v>0</v>
      </c>
      <c r="AJ65" s="2445"/>
      <c r="AK65" s="2445"/>
      <c r="AL65" s="2445"/>
      <c r="AM65" s="2445"/>
      <c r="AN65" s="2445"/>
      <c r="AO65" s="2445"/>
      <c r="AP65" s="2445"/>
      <c r="AQ65" s="2445"/>
      <c r="AR65" s="2445"/>
      <c r="AS65" s="2445"/>
      <c r="AT65" s="2445"/>
      <c r="AU65" s="2445"/>
      <c r="BM65" s="1" t="s">
        <v>3220</v>
      </c>
      <c r="BN65" s="1">
        <f>IF(AND(ISERROR(Q65)=FALSE,ISERROR(R65)=FALSE,ISERROR(T65)=FALSE,ISERROR(U65)=FALSE),IF(OR(AND(Q65&gt;3,R65&gt;0),AND(T65&gt;3,U65&gt;0)),MAX(Q65,T65),0),0)</f>
        <v>0</v>
      </c>
      <c r="BO65" s="2895" t="str">
        <f t="shared" ref="BO65:BO67" si="54">IF(K65=0,"",K65)</f>
        <v/>
      </c>
    </row>
    <row r="66" spans="2:67">
      <c r="B66" s="679"/>
      <c r="C66" s="633"/>
      <c r="D66" s="634">
        <v>2</v>
      </c>
      <c r="E66" s="628" t="s">
        <v>1779</v>
      </c>
      <c r="F66" s="670"/>
      <c r="G66" s="3308" t="s">
        <v>4092</v>
      </c>
      <c r="H66" s="3305"/>
      <c r="I66" s="2459"/>
      <c r="J66" s="2460"/>
      <c r="K66" s="3614"/>
      <c r="L66" s="3615"/>
      <c r="M66" s="3615"/>
      <c r="N66" s="3615"/>
      <c r="O66" s="3616"/>
      <c r="P66" s="3213">
        <v>3</v>
      </c>
      <c r="Q66" s="651">
        <f t="shared" si="12"/>
        <v>3</v>
      </c>
      <c r="R66" s="638">
        <f t="shared" si="29"/>
        <v>0.32808398950131235</v>
      </c>
      <c r="S66" s="3198"/>
      <c r="T66" s="651">
        <f t="shared" si="13"/>
        <v>3</v>
      </c>
      <c r="U66" s="638">
        <f t="shared" si="7"/>
        <v>1</v>
      </c>
      <c r="V66" s="620"/>
      <c r="W66" s="554"/>
      <c r="X66" s="652">
        <f>IF(採点Q2!F18="対象外",0,採点Q2!F18)</f>
        <v>3</v>
      </c>
      <c r="Y66" s="653">
        <f>採点Q2!K18</f>
        <v>3</v>
      </c>
      <c r="Z66" s="2445"/>
      <c r="AA66" s="641">
        <f t="shared" si="52"/>
        <v>3</v>
      </c>
      <c r="AB66" s="622">
        <f>重み!D66</f>
        <v>0.32808398950131235</v>
      </c>
      <c r="AC66" s="641">
        <f t="shared" si="53"/>
        <v>3</v>
      </c>
      <c r="AD66" s="622">
        <f>重み!E66</f>
        <v>1</v>
      </c>
      <c r="AE66" s="601"/>
      <c r="AF66" s="554"/>
      <c r="AG66" s="582">
        <f>重み!M66</f>
        <v>0.32808398950131235</v>
      </c>
      <c r="AH66" s="568"/>
      <c r="AI66" s="582">
        <f>重み!N66</f>
        <v>1.5748031496062992E-2</v>
      </c>
      <c r="AJ66" s="2445"/>
      <c r="AK66" s="2445"/>
      <c r="AL66" s="2445"/>
      <c r="AM66" s="2445"/>
      <c r="AN66" s="2445"/>
      <c r="AO66" s="2445"/>
      <c r="AP66" s="2445"/>
      <c r="AQ66" s="2445"/>
      <c r="AR66" s="2445"/>
      <c r="AS66" s="2445"/>
      <c r="AT66" s="2445"/>
      <c r="AU66" s="2445"/>
      <c r="BM66" s="1" t="s">
        <v>3221</v>
      </c>
      <c r="BN66" s="1">
        <f>IF(AND(ISERROR(Q66)=FALSE,ISERROR(R66)=FALSE,ISERROR(T66)=FALSE,ISERROR(U66)=FALSE),IF(OR(AND(Q66&gt;3,R66&gt;0),AND(T66&gt;3,U66&gt;0)),MAX(Q66,T66),0),0)</f>
        <v>0</v>
      </c>
      <c r="BO66" s="2895" t="str">
        <f t="shared" si="54"/>
        <v/>
      </c>
    </row>
    <row r="67" spans="2:67" ht="14.25" thickBot="1">
      <c r="B67" s="679"/>
      <c r="C67" s="642"/>
      <c r="D67" s="634">
        <v>3</v>
      </c>
      <c r="E67" s="628" t="s">
        <v>1780</v>
      </c>
      <c r="F67" s="670"/>
      <c r="G67" s="3308" t="s">
        <v>4092</v>
      </c>
      <c r="H67" s="3305"/>
      <c r="I67" s="2465" t="s">
        <v>2521</v>
      </c>
      <c r="J67" s="2466" t="s">
        <v>2522</v>
      </c>
      <c r="K67" s="3614"/>
      <c r="L67" s="3615"/>
      <c r="M67" s="3615"/>
      <c r="N67" s="3615"/>
      <c r="O67" s="3616"/>
      <c r="P67" s="3214">
        <v>3</v>
      </c>
      <c r="Q67" s="644">
        <f t="shared" si="12"/>
        <v>3</v>
      </c>
      <c r="R67" s="638">
        <f t="shared" si="29"/>
        <v>0.34383202099737531</v>
      </c>
      <c r="S67" s="3215"/>
      <c r="T67" s="644">
        <f t="shared" si="13"/>
        <v>0</v>
      </c>
      <c r="U67" s="638">
        <f t="shared" si="7"/>
        <v>0</v>
      </c>
      <c r="V67" s="620"/>
      <c r="W67" s="554"/>
      <c r="X67" s="645">
        <f>IF(採点Q2!F27="対象外",0,採点Q2!F27)</f>
        <v>3</v>
      </c>
      <c r="Y67" s="3225"/>
      <c r="Z67" s="2445"/>
      <c r="AA67" s="641">
        <f t="shared" si="52"/>
        <v>3</v>
      </c>
      <c r="AB67" s="622">
        <f>重み!D67</f>
        <v>0.34383202099737531</v>
      </c>
      <c r="AC67" s="641">
        <f t="shared" si="53"/>
        <v>0</v>
      </c>
      <c r="AD67" s="622">
        <f>重み!E67</f>
        <v>0</v>
      </c>
      <c r="AE67" s="601"/>
      <c r="AF67" s="554"/>
      <c r="AG67" s="582">
        <f>重み!M67</f>
        <v>0.34383202099737531</v>
      </c>
      <c r="AH67" s="568"/>
      <c r="AI67" s="582">
        <f>重み!N67</f>
        <v>0</v>
      </c>
      <c r="AJ67" s="2445"/>
      <c r="AK67" s="2445"/>
      <c r="AL67" s="2445"/>
      <c r="AM67" s="2445"/>
      <c r="AN67" s="2445"/>
      <c r="AO67" s="2445"/>
      <c r="AP67" s="2445"/>
      <c r="AQ67" s="2445"/>
      <c r="AR67" s="2445"/>
      <c r="AS67" s="2445"/>
      <c r="AT67" s="2445"/>
      <c r="AU67" s="2445"/>
      <c r="BM67" s="1" t="s">
        <v>3222</v>
      </c>
      <c r="BN67" s="1">
        <f>IF(AND(ISERROR(Q67)=FALSE,ISERROR(R67)=FALSE,ISERROR(T67)=FALSE,ISERROR(U67)=FALSE),IF(OR(AND(Q67&gt;3,R67&gt;0),AND(T67&gt;3,U67&gt;0)),MAX(Q67,T67),0),0)</f>
        <v>0</v>
      </c>
      <c r="BO67" s="2895" t="str">
        <f t="shared" si="54"/>
        <v/>
      </c>
    </row>
    <row r="68" spans="2:67" ht="14.25" thickBot="1">
      <c r="B68" s="679"/>
      <c r="C68" s="626">
        <v>1.2</v>
      </c>
      <c r="D68" s="627" t="s">
        <v>2176</v>
      </c>
      <c r="E68" s="664"/>
      <c r="F68" s="665"/>
      <c r="G68" s="3311"/>
      <c r="H68" s="3313"/>
      <c r="I68" s="2459"/>
      <c r="J68" s="2460"/>
      <c r="K68" s="2842"/>
      <c r="L68" s="2843"/>
      <c r="M68" s="2843"/>
      <c r="N68" s="2843"/>
      <c r="O68" s="2844"/>
      <c r="P68" s="3196">
        <f>ROUNDDOWN(AA68,1)</f>
        <v>3</v>
      </c>
      <c r="Q68" s="680">
        <f t="shared" si="12"/>
        <v>3</v>
      </c>
      <c r="R68" s="638">
        <f>AB68</f>
        <v>0.3</v>
      </c>
      <c r="S68" s="681">
        <f>ROUNDDOWN(AC68,1)</f>
        <v>3</v>
      </c>
      <c r="T68" s="2260">
        <f t="shared" si="13"/>
        <v>3</v>
      </c>
      <c r="U68" s="619">
        <f t="shared" si="7"/>
        <v>0.4</v>
      </c>
      <c r="V68" s="620"/>
      <c r="W68" s="554"/>
      <c r="X68" s="3216"/>
      <c r="Y68" s="3216"/>
      <c r="Z68" s="2445"/>
      <c r="AA68" s="621">
        <f>SUMPRODUCT(AA69:AA73,AB69:AB73)</f>
        <v>3</v>
      </c>
      <c r="AB68" s="622">
        <f>重み!D68</f>
        <v>0.3</v>
      </c>
      <c r="AC68" s="621">
        <f>SUMPRODUCT(AC69:AC73,AD69:AD73)</f>
        <v>3</v>
      </c>
      <c r="AD68" s="622">
        <f>重み!E68</f>
        <v>0.4</v>
      </c>
      <c r="AE68" s="601"/>
      <c r="AF68" s="554"/>
      <c r="AG68" s="582">
        <f>重み!M68</f>
        <v>0.3</v>
      </c>
      <c r="AH68" s="568"/>
      <c r="AI68" s="582">
        <f>重み!N68</f>
        <v>6.2992125984251968E-3</v>
      </c>
      <c r="AJ68" s="2445"/>
      <c r="AK68" s="2445"/>
      <c r="AL68" s="2445"/>
      <c r="AM68" s="2445"/>
      <c r="AN68" s="2445"/>
      <c r="AO68" s="2445"/>
      <c r="AP68" s="2445"/>
      <c r="AQ68" s="2445"/>
      <c r="AR68" s="2445"/>
      <c r="AS68" s="2445"/>
      <c r="AT68" s="2445"/>
      <c r="AU68" s="2445"/>
      <c r="BM68" s="1"/>
      <c r="BN68" s="1"/>
      <c r="BO68" s="2895"/>
    </row>
    <row r="69" spans="2:67">
      <c r="B69" s="679"/>
      <c r="C69" s="633"/>
      <c r="D69" s="634">
        <v>1</v>
      </c>
      <c r="E69" s="628" t="s">
        <v>672</v>
      </c>
      <c r="F69" s="3294" t="s">
        <v>4075</v>
      </c>
      <c r="G69" s="3308" t="s">
        <v>4092</v>
      </c>
      <c r="H69" s="3305"/>
      <c r="I69" s="2465" t="s">
        <v>2529</v>
      </c>
      <c r="J69" s="2466" t="s">
        <v>2523</v>
      </c>
      <c r="K69" s="3614"/>
      <c r="L69" s="3615"/>
      <c r="M69" s="3615"/>
      <c r="N69" s="3615"/>
      <c r="O69" s="3616"/>
      <c r="P69" s="3212">
        <v>3</v>
      </c>
      <c r="Q69" s="637">
        <f t="shared" si="12"/>
        <v>3</v>
      </c>
      <c r="R69" s="638">
        <f t="shared" si="29"/>
        <v>0.32808398950131235</v>
      </c>
      <c r="S69" s="3197"/>
      <c r="T69" s="637">
        <f t="shared" si="13"/>
        <v>3</v>
      </c>
      <c r="U69" s="638">
        <f t="shared" si="7"/>
        <v>0.5</v>
      </c>
      <c r="V69" s="620"/>
      <c r="W69" s="554"/>
      <c r="X69" s="639">
        <f>IF(採点Q2!F37="対象外",0,採点Q2!F37)</f>
        <v>3</v>
      </c>
      <c r="Y69" s="640">
        <f>採点Q2!M37</f>
        <v>3</v>
      </c>
      <c r="Z69" s="2445"/>
      <c r="AA69" s="641">
        <f t="shared" ref="AA69:AA72" si="55">IF($AA$3=4,P69,X69)</f>
        <v>3</v>
      </c>
      <c r="AB69" s="622">
        <f>重み!D69</f>
        <v>0.32808398950131235</v>
      </c>
      <c r="AC69" s="641">
        <f t="shared" ref="AC69:AC72" si="56">IF($AA$3=4,S69,Y69)</f>
        <v>3</v>
      </c>
      <c r="AD69" s="622">
        <f>重み!E69</f>
        <v>0.5</v>
      </c>
      <c r="AE69" s="601"/>
      <c r="AF69" s="554"/>
      <c r="AG69" s="582">
        <f>重み!M69</f>
        <v>0.32808398950131235</v>
      </c>
      <c r="AH69" s="568"/>
      <c r="AI69" s="582">
        <f>重み!N69</f>
        <v>7.874015748031496E-3</v>
      </c>
      <c r="AJ69" s="2445"/>
      <c r="AK69" s="2445"/>
      <c r="AL69" s="2445"/>
      <c r="AM69" s="2445"/>
      <c r="AN69" s="2445"/>
      <c r="AO69" s="2445"/>
      <c r="AP69" s="2445"/>
      <c r="AQ69" s="2445"/>
      <c r="AR69" s="2445"/>
      <c r="AS69" s="2445"/>
      <c r="AT69" s="2445"/>
      <c r="AU69" s="2445"/>
      <c r="BM69" s="1" t="s">
        <v>3223</v>
      </c>
      <c r="BN69" s="1">
        <f>IF(AND(ISERROR(Q69)=FALSE,ISERROR(R69)=FALSE,ISERROR(T69)=FALSE,ISERROR(U69)=FALSE),IF(OR(AND(Q69&gt;3,R69&gt;0),AND(T69&gt;3,U69&gt;0)),MAX(Q69,T69),0),0)</f>
        <v>0</v>
      </c>
      <c r="BO69" s="2895" t="str">
        <f t="shared" ref="BO69:BO72" si="57">IF(K69=0,"",K69)</f>
        <v/>
      </c>
    </row>
    <row r="70" spans="2:67" s="2445" customFormat="1" hidden="1">
      <c r="B70" s="679"/>
      <c r="C70" s="633"/>
      <c r="D70" s="3295">
        <v>2</v>
      </c>
      <c r="E70" s="3285" t="s">
        <v>672</v>
      </c>
      <c r="F70" s="3294" t="s">
        <v>4076</v>
      </c>
      <c r="G70" s="3308"/>
      <c r="H70" s="3305"/>
      <c r="I70" s="2465"/>
      <c r="J70" s="2466"/>
      <c r="K70" s="2912"/>
      <c r="L70" s="2913"/>
      <c r="M70" s="2913"/>
      <c r="N70" s="2913"/>
      <c r="O70" s="2914"/>
      <c r="P70" s="3213">
        <v>3</v>
      </c>
      <c r="Q70" s="651">
        <f t="shared" si="12"/>
        <v>100</v>
      </c>
      <c r="R70" s="638">
        <f t="shared" si="29"/>
        <v>0</v>
      </c>
      <c r="S70" s="3198"/>
      <c r="T70" s="651">
        <f t="shared" si="13"/>
        <v>0</v>
      </c>
      <c r="U70" s="638"/>
      <c r="V70" s="620"/>
      <c r="W70" s="554"/>
      <c r="X70" s="3226">
        <v>100</v>
      </c>
      <c r="Y70" s="653"/>
      <c r="AA70" s="641">
        <f t="shared" si="55"/>
        <v>100</v>
      </c>
      <c r="AB70" s="622">
        <f>重み!D70</f>
        <v>0</v>
      </c>
      <c r="AC70" s="641">
        <f t="shared" si="56"/>
        <v>0</v>
      </c>
      <c r="AD70" s="622">
        <f>重み!E70</f>
        <v>0</v>
      </c>
      <c r="AE70" s="601"/>
      <c r="AF70" s="554"/>
      <c r="AG70" s="582">
        <f>重み!M70</f>
        <v>0</v>
      </c>
      <c r="AH70" s="568"/>
      <c r="AI70" s="582">
        <f>重み!N70</f>
        <v>0</v>
      </c>
      <c r="BM70" s="1"/>
      <c r="BN70" s="1"/>
      <c r="BO70" s="2895"/>
    </row>
    <row r="71" spans="2:67">
      <c r="B71" s="679"/>
      <c r="C71" s="633"/>
      <c r="D71" s="634">
        <v>2</v>
      </c>
      <c r="E71" s="628" t="s">
        <v>1576</v>
      </c>
      <c r="F71" s="670"/>
      <c r="G71" s="3308" t="s">
        <v>4092</v>
      </c>
      <c r="H71" s="3305"/>
      <c r="I71" s="2459"/>
      <c r="J71" s="2460"/>
      <c r="K71" s="3614"/>
      <c r="L71" s="3615"/>
      <c r="M71" s="3615"/>
      <c r="N71" s="3615"/>
      <c r="O71" s="3616"/>
      <c r="P71" s="3213">
        <v>3</v>
      </c>
      <c r="Q71" s="651">
        <f t="shared" si="12"/>
        <v>3</v>
      </c>
      <c r="R71" s="638">
        <f t="shared" si="29"/>
        <v>0.32808398950131235</v>
      </c>
      <c r="S71" s="3198"/>
      <c r="T71" s="651">
        <f t="shared" si="13"/>
        <v>0</v>
      </c>
      <c r="U71" s="638">
        <f t="shared" si="7"/>
        <v>0</v>
      </c>
      <c r="V71" s="620"/>
      <c r="W71" s="554"/>
      <c r="X71" s="652">
        <f>IF(採点Q2!F52="対象外",0,採点Q2!F52)</f>
        <v>3</v>
      </c>
      <c r="Y71" s="653"/>
      <c r="Z71" s="2445"/>
      <c r="AA71" s="641">
        <f t="shared" si="55"/>
        <v>3</v>
      </c>
      <c r="AB71" s="622">
        <f>重み!D71</f>
        <v>0.32808398950131235</v>
      </c>
      <c r="AC71" s="641">
        <f t="shared" si="56"/>
        <v>0</v>
      </c>
      <c r="AD71" s="622">
        <f>重み!E71</f>
        <v>0</v>
      </c>
      <c r="AE71" s="601"/>
      <c r="AF71" s="554"/>
      <c r="AG71" s="582">
        <f>重み!M71</f>
        <v>0.32808398950131235</v>
      </c>
      <c r="AH71" s="568"/>
      <c r="AI71" s="582">
        <f>重み!N71</f>
        <v>0</v>
      </c>
      <c r="AJ71" s="2445"/>
      <c r="AK71" s="2445"/>
      <c r="AL71" s="2445"/>
      <c r="AM71" s="2445"/>
      <c r="AN71" s="2445"/>
      <c r="AO71" s="2445"/>
      <c r="AP71" s="2445"/>
      <c r="AQ71" s="2445"/>
      <c r="AR71" s="2445"/>
      <c r="AS71" s="2445"/>
      <c r="AT71" s="2445"/>
      <c r="AU71" s="2445"/>
      <c r="BM71" s="1" t="s">
        <v>3224</v>
      </c>
      <c r="BN71" s="1">
        <f>IF(AND(ISERROR(Q71)=FALSE,ISERROR(R71)=FALSE,ISERROR(T71)=FALSE,ISERROR(U71)=FALSE),IF(OR(AND(Q71&gt;3,R71&gt;0),AND(T71&gt;3,U71&gt;0)),MAX(Q71,T71),0),0)</f>
        <v>0</v>
      </c>
      <c r="BO71" s="2895" t="str">
        <f t="shared" si="57"/>
        <v/>
      </c>
    </row>
    <row r="72" spans="2:67" ht="14.25" thickBot="1">
      <c r="B72" s="679"/>
      <c r="C72" s="642"/>
      <c r="D72" s="634">
        <v>3</v>
      </c>
      <c r="E72" s="628" t="s">
        <v>0</v>
      </c>
      <c r="F72" s="670"/>
      <c r="G72" s="3308" t="s">
        <v>4092</v>
      </c>
      <c r="H72" s="3305"/>
      <c r="I72" s="2465" t="s">
        <v>2520</v>
      </c>
      <c r="J72" s="2466" t="s">
        <v>2522</v>
      </c>
      <c r="K72" s="3614"/>
      <c r="L72" s="3615"/>
      <c r="M72" s="3615"/>
      <c r="N72" s="3615"/>
      <c r="O72" s="3616"/>
      <c r="P72" s="3213">
        <v>3</v>
      </c>
      <c r="Q72" s="651">
        <f t="shared" si="12"/>
        <v>3</v>
      </c>
      <c r="R72" s="638">
        <f t="shared" si="29"/>
        <v>0.34383202099737531</v>
      </c>
      <c r="S72" s="3198"/>
      <c r="T72" s="651">
        <f t="shared" si="13"/>
        <v>3</v>
      </c>
      <c r="U72" s="638">
        <f t="shared" si="7"/>
        <v>0.5</v>
      </c>
      <c r="V72" s="620"/>
      <c r="W72" s="554"/>
      <c r="X72" s="652">
        <f>IF(採点Q2!F61="対象外",0,採点Q2!F61)</f>
        <v>3</v>
      </c>
      <c r="Y72" s="653">
        <f>採点Q2!K61</f>
        <v>3</v>
      </c>
      <c r="Z72" s="2445"/>
      <c r="AA72" s="641">
        <f t="shared" si="55"/>
        <v>3</v>
      </c>
      <c r="AB72" s="622">
        <f>重み!D72</f>
        <v>0.34383202099737531</v>
      </c>
      <c r="AC72" s="641">
        <f t="shared" si="56"/>
        <v>3</v>
      </c>
      <c r="AD72" s="622">
        <f>重み!E72</f>
        <v>0.5</v>
      </c>
      <c r="AE72" s="601"/>
      <c r="AF72" s="554"/>
      <c r="AG72" s="582">
        <f>重み!M72</f>
        <v>0.34383202099737531</v>
      </c>
      <c r="AH72" s="568"/>
      <c r="AI72" s="582">
        <f>重み!N72</f>
        <v>7.874015748031496E-3</v>
      </c>
      <c r="AJ72" s="2445"/>
      <c r="AK72" s="2445"/>
      <c r="AL72" s="2445"/>
      <c r="AM72" s="2445"/>
      <c r="AN72" s="2445"/>
      <c r="AO72" s="2445"/>
      <c r="AP72" s="2445"/>
      <c r="AQ72" s="2445"/>
      <c r="AR72" s="2445"/>
      <c r="AS72" s="2445"/>
      <c r="AT72" s="2445"/>
      <c r="AU72" s="2445"/>
      <c r="BM72" s="1" t="s">
        <v>3225</v>
      </c>
      <c r="BN72" s="1">
        <f>IF(AND(ISERROR(Q72)=FALSE,ISERROR(R72)=FALSE,ISERROR(T72)=FALSE,ISERROR(U72)=FALSE),IF(OR(AND(Q72&gt;3,R72&gt;0),AND(T72&gt;3,U72&gt;0)),MAX(Q72,T72),0),0)</f>
        <v>0</v>
      </c>
      <c r="BO72" s="2895" t="str">
        <f t="shared" si="57"/>
        <v/>
      </c>
    </row>
    <row r="73" spans="2:67" s="2445" customFormat="1" ht="14.25" hidden="1" thickBot="1">
      <c r="B73" s="679"/>
      <c r="C73" s="633"/>
      <c r="D73" s="3295">
        <v>5</v>
      </c>
      <c r="E73" s="3285" t="s">
        <v>3527</v>
      </c>
      <c r="F73" s="665"/>
      <c r="G73" s="3318"/>
      <c r="H73" s="3313"/>
      <c r="I73" s="2465"/>
      <c r="J73" s="2466"/>
      <c r="K73" s="2912"/>
      <c r="L73" s="2913"/>
      <c r="M73" s="2913"/>
      <c r="N73" s="2913"/>
      <c r="O73" s="2915"/>
      <c r="P73" s="3214">
        <v>3</v>
      </c>
      <c r="Q73" s="644">
        <f t="shared" si="12"/>
        <v>100</v>
      </c>
      <c r="R73" s="638">
        <f t="shared" si="29"/>
        <v>0</v>
      </c>
      <c r="S73" s="3215"/>
      <c r="T73" s="644">
        <f t="shared" si="13"/>
        <v>0</v>
      </c>
      <c r="U73" s="638"/>
      <c r="V73" s="620"/>
      <c r="W73" s="554"/>
      <c r="X73" s="3227">
        <v>100</v>
      </c>
      <c r="Y73" s="646"/>
      <c r="AA73" s="641">
        <f>IF($AA$3=4,P73,X73)</f>
        <v>100</v>
      </c>
      <c r="AB73" s="622">
        <f>重み!D73</f>
        <v>0</v>
      </c>
      <c r="AC73" s="641">
        <f>IF($AA$3=4,S73,Y73)</f>
        <v>0</v>
      </c>
      <c r="AD73" s="622">
        <f>重み!E73</f>
        <v>0</v>
      </c>
      <c r="AE73" s="601"/>
      <c r="AF73" s="554"/>
      <c r="AG73" s="582">
        <f>重み!M73</f>
        <v>0</v>
      </c>
      <c r="AH73" s="568"/>
      <c r="AI73" s="582">
        <f>重み!N73</f>
        <v>0</v>
      </c>
      <c r="BM73" s="1"/>
      <c r="BN73" s="1"/>
      <c r="BO73" s="2895"/>
    </row>
    <row r="74" spans="2:67" ht="14.25" thickBot="1">
      <c r="B74" s="710"/>
      <c r="C74" s="647">
        <v>1.3</v>
      </c>
      <c r="D74" s="627" t="s">
        <v>1</v>
      </c>
      <c r="E74" s="664"/>
      <c r="F74" s="665"/>
      <c r="G74" s="3311"/>
      <c r="H74" s="3313"/>
      <c r="I74" s="2459"/>
      <c r="J74" s="2460"/>
      <c r="K74" s="2842"/>
      <c r="L74" s="2843"/>
      <c r="M74" s="2843"/>
      <c r="N74" s="2843"/>
      <c r="O74" s="2844"/>
      <c r="P74" s="680">
        <f>ROUNDDOWN(AA74,1)</f>
        <v>3</v>
      </c>
      <c r="Q74" s="2260">
        <f t="shared" si="12"/>
        <v>3</v>
      </c>
      <c r="R74" s="638">
        <f>AB74</f>
        <v>0.3</v>
      </c>
      <c r="S74" s="681">
        <f>ROUNDDOWN(AC74,1)</f>
        <v>0</v>
      </c>
      <c r="T74" s="3228">
        <f t="shared" si="13"/>
        <v>0</v>
      </c>
      <c r="U74" s="638">
        <f t="shared" ref="U74:U137" si="58">AD74</f>
        <v>0</v>
      </c>
      <c r="V74" s="620"/>
      <c r="W74" s="554"/>
      <c r="X74" s="3201"/>
      <c r="Y74" s="3201"/>
      <c r="Z74" s="2445"/>
      <c r="AA74" s="621">
        <f>SUMPRODUCT(AA75:AA77,AB75:AB77)</f>
        <v>3</v>
      </c>
      <c r="AB74" s="622">
        <f>重み!D74</f>
        <v>0.3</v>
      </c>
      <c r="AC74" s="621">
        <f>SUMPRODUCT(AC75:AC77,AD75:AD77)</f>
        <v>0</v>
      </c>
      <c r="AD74" s="622">
        <f>重み!E74</f>
        <v>0</v>
      </c>
      <c r="AE74" s="601"/>
      <c r="AF74" s="554"/>
      <c r="AG74" s="582">
        <f>重み!M74</f>
        <v>0.3</v>
      </c>
      <c r="AH74" s="568"/>
      <c r="AI74" s="582">
        <f>重み!N74</f>
        <v>0</v>
      </c>
      <c r="AJ74" s="2445"/>
      <c r="AK74" s="2445"/>
      <c r="AL74" s="2445"/>
      <c r="AM74" s="2445"/>
      <c r="AN74" s="2445"/>
      <c r="AO74" s="2445"/>
      <c r="AP74" s="2445"/>
      <c r="AQ74" s="2445"/>
      <c r="AR74" s="2445"/>
      <c r="AS74" s="2445"/>
      <c r="AT74" s="2445"/>
      <c r="AU74" s="2445"/>
      <c r="BM74" s="1"/>
      <c r="BN74" s="1"/>
      <c r="BO74" s="2895"/>
    </row>
    <row r="75" spans="2:67">
      <c r="B75" s="710"/>
      <c r="C75" s="633"/>
      <c r="D75" s="634">
        <v>1</v>
      </c>
      <c r="E75" s="628" t="s">
        <v>2</v>
      </c>
      <c r="F75" s="670"/>
      <c r="G75" s="3308" t="s">
        <v>4092</v>
      </c>
      <c r="H75" s="3305"/>
      <c r="I75" s="2459"/>
      <c r="J75" s="2460"/>
      <c r="K75" s="3614"/>
      <c r="L75" s="3615"/>
      <c r="M75" s="3615"/>
      <c r="N75" s="3615"/>
      <c r="O75" s="3616"/>
      <c r="P75" s="3197">
        <v>3</v>
      </c>
      <c r="Q75" s="637">
        <f t="shared" si="12"/>
        <v>3</v>
      </c>
      <c r="R75" s="638">
        <f t="shared" si="29"/>
        <v>0.5</v>
      </c>
      <c r="S75" s="3197"/>
      <c r="T75" s="637">
        <f t="shared" si="13"/>
        <v>0</v>
      </c>
      <c r="U75" s="638">
        <f t="shared" si="58"/>
        <v>0</v>
      </c>
      <c r="V75" s="620"/>
      <c r="W75" s="554"/>
      <c r="X75" s="689">
        <f>IF(採点Q2!F79="対象外",0,採点Q2!F79)</f>
        <v>3</v>
      </c>
      <c r="Y75" s="3224"/>
      <c r="Z75" s="2445"/>
      <c r="AA75" s="641">
        <f t="shared" ref="AA75:AA77" si="59">IF($AA$3=4,P75,X75)</f>
        <v>3</v>
      </c>
      <c r="AB75" s="622">
        <f>重み!D75</f>
        <v>0.5</v>
      </c>
      <c r="AC75" s="641">
        <f t="shared" ref="AC75:AC77" si="60">IF($AA$3=4,S75,Y75)</f>
        <v>0</v>
      </c>
      <c r="AD75" s="622">
        <f>重み!E75</f>
        <v>0</v>
      </c>
      <c r="AE75" s="601"/>
      <c r="AF75" s="554"/>
      <c r="AG75" s="582">
        <f>重み!M75</f>
        <v>0.5</v>
      </c>
      <c r="AH75" s="568"/>
      <c r="AI75" s="582">
        <f>重み!N75</f>
        <v>0</v>
      </c>
      <c r="AJ75" s="2445"/>
      <c r="AK75" s="2445"/>
      <c r="AL75" s="2445"/>
      <c r="AM75" s="2445"/>
      <c r="AN75" s="2445"/>
      <c r="AO75" s="2445"/>
      <c r="AP75" s="2445"/>
      <c r="AQ75" s="2445"/>
      <c r="AR75" s="2445"/>
      <c r="AS75" s="2445"/>
      <c r="AT75" s="2445"/>
      <c r="AU75" s="2445"/>
      <c r="BM75" s="1" t="s">
        <v>3226</v>
      </c>
      <c r="BN75" s="1">
        <f>IF(AND(ISERROR(Q75)=FALSE,ISERROR(R75)=FALSE,ISERROR(T75)=FALSE,ISERROR(U75)=FALSE),IF(OR(AND(Q75&gt;3,R75&gt;0),AND(T75&gt;3,U75&gt;0)),MAX(Q75,T75),0),0)</f>
        <v>0</v>
      </c>
      <c r="BO75" s="2895" t="str">
        <f t="shared" ref="BO75:BO77" si="61">IF(K75=0,"",K75)</f>
        <v/>
      </c>
    </row>
    <row r="76" spans="2:67" ht="14.25" thickBot="1">
      <c r="B76" s="679"/>
      <c r="C76" s="633"/>
      <c r="D76" s="634">
        <v>2</v>
      </c>
      <c r="E76" s="628" t="s">
        <v>3</v>
      </c>
      <c r="F76" s="670"/>
      <c r="G76" s="3308" t="s">
        <v>4092</v>
      </c>
      <c r="H76" s="3305"/>
      <c r="I76" s="2459"/>
      <c r="J76" s="2460"/>
      <c r="K76" s="3614"/>
      <c r="L76" s="3615"/>
      <c r="M76" s="3615"/>
      <c r="N76" s="3615"/>
      <c r="O76" s="3616"/>
      <c r="P76" s="3198">
        <v>0</v>
      </c>
      <c r="Q76" s="651">
        <f t="shared" si="12"/>
        <v>3</v>
      </c>
      <c r="R76" s="638">
        <f t="shared" si="29"/>
        <v>0.5</v>
      </c>
      <c r="S76" s="3198"/>
      <c r="T76" s="651">
        <f t="shared" si="13"/>
        <v>0</v>
      </c>
      <c r="U76" s="638">
        <f t="shared" si="58"/>
        <v>0</v>
      </c>
      <c r="V76" s="620"/>
      <c r="W76" s="554"/>
      <c r="X76" s="711">
        <f>IF(採点Q2!F123="対象外",0,採点Q2!F123)</f>
        <v>3</v>
      </c>
      <c r="Y76" s="3224"/>
      <c r="Z76" s="2445"/>
      <c r="AA76" s="641">
        <f t="shared" si="59"/>
        <v>3</v>
      </c>
      <c r="AB76" s="622">
        <f>重み!D76</f>
        <v>0.5</v>
      </c>
      <c r="AC76" s="641">
        <f t="shared" si="60"/>
        <v>0</v>
      </c>
      <c r="AD76" s="622">
        <f>重み!E76</f>
        <v>0</v>
      </c>
      <c r="AE76" s="601"/>
      <c r="AF76" s="554"/>
      <c r="AG76" s="582">
        <f>重み!M76</f>
        <v>0.5</v>
      </c>
      <c r="AH76" s="568"/>
      <c r="AI76" s="582">
        <f>重み!N76</f>
        <v>0</v>
      </c>
      <c r="AJ76" s="2445"/>
      <c r="AK76" s="2445"/>
      <c r="AL76" s="2445"/>
      <c r="AM76" s="2445"/>
      <c r="AN76" s="2445"/>
      <c r="AO76" s="2445"/>
      <c r="AP76" s="2445"/>
      <c r="AQ76" s="2445"/>
      <c r="AR76" s="2445"/>
      <c r="AS76" s="2445"/>
      <c r="AT76" s="2445"/>
      <c r="AU76" s="2445"/>
      <c r="BM76" s="1" t="s">
        <v>3228</v>
      </c>
      <c r="BN76" s="1">
        <f>IF(AND(ISERROR(Q76)=FALSE,ISERROR(R76)=FALSE,ISERROR(T76)=FALSE,ISERROR(U76)=FALSE),IF(OR(AND(Q76&gt;3,R76&gt;0),AND(T76&gt;3,U76&gt;0)),MAX(Q76,T76),0),0)</f>
        <v>0</v>
      </c>
      <c r="BO76" s="2895" t="str">
        <f t="shared" si="61"/>
        <v/>
      </c>
    </row>
    <row r="77" spans="2:67" ht="14.25" hidden="1" thickBot="1">
      <c r="B77" s="679"/>
      <c r="C77" s="642"/>
      <c r="D77" s="682">
        <v>3</v>
      </c>
      <c r="E77" s="683" t="s">
        <v>4</v>
      </c>
      <c r="F77" s="684"/>
      <c r="G77" s="3303"/>
      <c r="H77" s="3303"/>
      <c r="I77" s="2459"/>
      <c r="J77" s="2460"/>
      <c r="K77" s="3614"/>
      <c r="L77" s="3615"/>
      <c r="M77" s="3615"/>
      <c r="N77" s="3615"/>
      <c r="O77" s="3616"/>
      <c r="P77" s="3215">
        <v>0</v>
      </c>
      <c r="Q77" s="644">
        <f t="shared" si="12"/>
        <v>0</v>
      </c>
      <c r="R77" s="638">
        <f t="shared" si="29"/>
        <v>0</v>
      </c>
      <c r="S77" s="644"/>
      <c r="T77" s="644">
        <f t="shared" si="13"/>
        <v>0</v>
      </c>
      <c r="U77" s="638">
        <f t="shared" si="58"/>
        <v>0</v>
      </c>
      <c r="V77" s="620"/>
      <c r="W77" s="554"/>
      <c r="X77" s="695">
        <f>採点Q2!F176</f>
        <v>0</v>
      </c>
      <c r="Y77" s="3224"/>
      <c r="Z77" s="2445"/>
      <c r="AA77" s="641">
        <f t="shared" si="59"/>
        <v>0</v>
      </c>
      <c r="AB77" s="622">
        <f>重み!D77</f>
        <v>0</v>
      </c>
      <c r="AC77" s="641">
        <f t="shared" si="60"/>
        <v>0</v>
      </c>
      <c r="AD77" s="622">
        <f>重み!E77</f>
        <v>0</v>
      </c>
      <c r="AE77" s="601"/>
      <c r="AF77" s="554"/>
      <c r="AG77" s="582">
        <f>重み!M77</f>
        <v>0</v>
      </c>
      <c r="AH77" s="568"/>
      <c r="AI77" s="582">
        <f>重み!N77</f>
        <v>0</v>
      </c>
      <c r="AJ77" s="2445"/>
      <c r="AK77" s="2445"/>
      <c r="AL77" s="2445"/>
      <c r="AM77" s="2445"/>
      <c r="AN77" s="2445"/>
      <c r="AO77" s="2445"/>
      <c r="AP77" s="2445"/>
      <c r="AQ77" s="2445"/>
      <c r="AR77" s="2445"/>
      <c r="AS77" s="2445"/>
      <c r="AT77" s="2445"/>
      <c r="AU77" s="2445"/>
      <c r="BM77" s="1" t="s">
        <v>3227</v>
      </c>
      <c r="BN77" s="1">
        <f>IF(AND(ISERROR(Q77)=FALSE,ISERROR(R77)=FALSE,ISERROR(T77)=FALSE,ISERROR(U77)=FALSE),IF(OR(AND(Q77&gt;3,R77&gt;0),AND(T77&gt;3,U77&gt;0)),MAX(Q77,T77),0),0)</f>
        <v>0</v>
      </c>
      <c r="BO77" s="2895" t="str">
        <f t="shared" si="61"/>
        <v/>
      </c>
    </row>
    <row r="78" spans="2:67">
      <c r="B78" s="712">
        <v>2</v>
      </c>
      <c r="C78" s="657" t="s">
        <v>5</v>
      </c>
      <c r="D78" s="726"/>
      <c r="E78" s="726"/>
      <c r="F78" s="665"/>
      <c r="G78" s="3319" t="s">
        <v>4093</v>
      </c>
      <c r="H78" s="3319" t="s">
        <v>4093</v>
      </c>
      <c r="I78" s="2461"/>
      <c r="J78" s="2462"/>
      <c r="K78" s="2845"/>
      <c r="L78" s="2846"/>
      <c r="M78" s="2846"/>
      <c r="N78" s="2846"/>
      <c r="O78" s="2847"/>
      <c r="P78" s="2252">
        <f t="shared" ref="P78:P79" si="62">ROUNDDOWN(AA78,1)</f>
        <v>3</v>
      </c>
      <c r="Q78" s="2252">
        <f t="shared" si="12"/>
        <v>3</v>
      </c>
      <c r="R78" s="660">
        <f t="shared" si="29"/>
        <v>0.3</v>
      </c>
      <c r="S78" s="3229">
        <f t="shared" ref="S78:S79" si="63">ROUNDDOWN(AC78,1)</f>
        <v>0</v>
      </c>
      <c r="T78" s="2252">
        <f t="shared" si="13"/>
        <v>0</v>
      </c>
      <c r="U78" s="661">
        <f t="shared" si="58"/>
        <v>0</v>
      </c>
      <c r="V78" s="662">
        <f>ROUNDDOWN(AE78,1)</f>
        <v>3</v>
      </c>
      <c r="W78" s="554"/>
      <c r="X78" s="3201"/>
      <c r="Y78" s="3224"/>
      <c r="Z78" s="2445"/>
      <c r="AA78" s="3202">
        <f>AA79*AB79+AA82*AB82+AA89*AB89+AA93*AB93</f>
        <v>3.0000000000000004</v>
      </c>
      <c r="AB78" s="622">
        <f>重み!D78</f>
        <v>0.3</v>
      </c>
      <c r="AC78" s="3202">
        <f>AC79*AD79+AC82*AD82+AC89*AD89+AC93*AD93</f>
        <v>0</v>
      </c>
      <c r="AD78" s="623">
        <f>SUM(AD79,AD82,AD89,AD93)</f>
        <v>0</v>
      </c>
      <c r="AE78" s="601">
        <f>IF(AC78=0,AA78,IF(AA78=0,AC78,AA78*AG$6+AC78*AI$6))</f>
        <v>3.0000000000000004</v>
      </c>
      <c r="AF78" s="554"/>
      <c r="AG78" s="582">
        <f>重み!M78</f>
        <v>0.3</v>
      </c>
      <c r="AH78" s="568"/>
      <c r="AI78" s="623">
        <f>SUM(AI79,AI82,AI89,AI93)</f>
        <v>0</v>
      </c>
      <c r="AJ78" s="2445"/>
      <c r="AK78" s="3211">
        <v>3</v>
      </c>
      <c r="AL78" s="3211"/>
      <c r="AM78" s="3211"/>
      <c r="AN78" s="3211"/>
      <c r="AO78" s="3211"/>
      <c r="AP78" s="3211">
        <v>4</v>
      </c>
      <c r="AQ78" s="3211"/>
      <c r="AR78" s="3211"/>
      <c r="AS78" s="3211"/>
      <c r="AT78" s="3211"/>
      <c r="AU78" s="2385">
        <f t="shared" si="51"/>
        <v>3</v>
      </c>
      <c r="AV78" s="799">
        <f>R78</f>
        <v>0.3</v>
      </c>
      <c r="AW78" s="662"/>
      <c r="AX78" s="2359"/>
      <c r="AY78" s="2384">
        <f>SUMPRODUCT($BB$7:$BK$7,AK78:AT78)/BA78</f>
        <v>3</v>
      </c>
      <c r="BA78" s="2383">
        <f>SUMPRODUCT($BB$7:$BK$7,BB78:BK78)</f>
        <v>0.98425196850393704</v>
      </c>
      <c r="BB78" s="2369">
        <f>IF(AK78&gt;0,1,0)</f>
        <v>1</v>
      </c>
      <c r="BC78" s="2369">
        <f t="shared" ref="BC78:BK78" si="64">IF(AL78&gt;0,1,0)</f>
        <v>0</v>
      </c>
      <c r="BD78" s="2369">
        <f t="shared" si="64"/>
        <v>0</v>
      </c>
      <c r="BE78" s="2369">
        <f t="shared" si="64"/>
        <v>0</v>
      </c>
      <c r="BF78" s="2369">
        <f t="shared" si="64"/>
        <v>0</v>
      </c>
      <c r="BG78" s="2369">
        <f t="shared" si="64"/>
        <v>1</v>
      </c>
      <c r="BH78" s="2369">
        <f t="shared" si="64"/>
        <v>0</v>
      </c>
      <c r="BI78" s="2369">
        <f t="shared" si="64"/>
        <v>0</v>
      </c>
      <c r="BJ78" s="2369">
        <f t="shared" si="64"/>
        <v>0</v>
      </c>
      <c r="BK78" s="2369">
        <f t="shared" si="64"/>
        <v>0</v>
      </c>
      <c r="BM78" s="1"/>
      <c r="BN78" s="1"/>
      <c r="BO78" s="2895"/>
    </row>
    <row r="79" spans="2:67" ht="14.25" thickBot="1">
      <c r="B79" s="679"/>
      <c r="C79" s="626">
        <v>2.1</v>
      </c>
      <c r="D79" s="663" t="s">
        <v>3529</v>
      </c>
      <c r="E79" s="664"/>
      <c r="F79" s="665"/>
      <c r="G79" s="3320"/>
      <c r="H79" s="3320"/>
      <c r="I79" s="2459"/>
      <c r="J79" s="2460"/>
      <c r="K79" s="2842"/>
      <c r="L79" s="2843"/>
      <c r="M79" s="2843"/>
      <c r="N79" s="2843"/>
      <c r="O79" s="2844"/>
      <c r="P79" s="680">
        <f t="shared" si="62"/>
        <v>3</v>
      </c>
      <c r="Q79" s="680">
        <f t="shared" ref="Q79:Q142" si="65">ROUNDDOWN(AA79,1)</f>
        <v>3</v>
      </c>
      <c r="R79" s="618">
        <f t="shared" si="29"/>
        <v>0.5</v>
      </c>
      <c r="S79" s="3230">
        <f t="shared" si="63"/>
        <v>0</v>
      </c>
      <c r="T79" s="3231">
        <f t="shared" ref="T79:T142" si="66">ROUNDDOWN(AC79,1)</f>
        <v>0</v>
      </c>
      <c r="U79" s="619">
        <f t="shared" si="58"/>
        <v>0</v>
      </c>
      <c r="V79" s="620"/>
      <c r="W79" s="554"/>
      <c r="X79" s="713"/>
      <c r="Y79" s="3224"/>
      <c r="Z79" s="2445"/>
      <c r="AA79" s="621">
        <f>SUMPRODUCT(AA80:AA81,AB80:AB81)</f>
        <v>3.0000000000000004</v>
      </c>
      <c r="AB79" s="622">
        <f>重み!D79</f>
        <v>0.5</v>
      </c>
      <c r="AC79" s="621">
        <f>SUMPRODUCT(AC80:AC81,AD80:AD81)</f>
        <v>0</v>
      </c>
      <c r="AD79" s="622">
        <f>重み!E79</f>
        <v>0</v>
      </c>
      <c r="AE79" s="601"/>
      <c r="AF79" s="554"/>
      <c r="AG79" s="582">
        <f>重み!M79</f>
        <v>0.5</v>
      </c>
      <c r="AH79" s="568"/>
      <c r="AI79" s="582">
        <f>重み!N79</f>
        <v>0</v>
      </c>
      <c r="AJ79" s="2445"/>
      <c r="AK79" s="2445"/>
      <c r="AL79" s="2445"/>
      <c r="AM79" s="2445"/>
      <c r="AN79" s="2445"/>
      <c r="AO79" s="2445"/>
      <c r="AP79" s="2445"/>
      <c r="AQ79" s="2445"/>
      <c r="AR79" s="2445"/>
      <c r="AS79" s="2445"/>
      <c r="AT79" s="2445"/>
      <c r="AU79" s="2445"/>
      <c r="BM79" s="1"/>
      <c r="BN79" s="1"/>
      <c r="BO79" s="2895"/>
    </row>
    <row r="80" spans="2:67">
      <c r="B80" s="679"/>
      <c r="C80" s="669"/>
      <c r="D80" s="634">
        <v>1</v>
      </c>
      <c r="E80" s="628" t="s">
        <v>4077</v>
      </c>
      <c r="F80" s="670"/>
      <c r="G80" s="3321" t="s">
        <v>4094</v>
      </c>
      <c r="H80" s="3321" t="s">
        <v>4094</v>
      </c>
      <c r="I80" s="2459"/>
      <c r="J80" s="2460"/>
      <c r="K80" s="3614"/>
      <c r="L80" s="3615"/>
      <c r="M80" s="3615"/>
      <c r="N80" s="3615"/>
      <c r="O80" s="3616"/>
      <c r="P80" s="3197">
        <v>3</v>
      </c>
      <c r="Q80" s="637">
        <f t="shared" si="65"/>
        <v>3</v>
      </c>
      <c r="R80" s="714">
        <f t="shared" si="29"/>
        <v>0.8</v>
      </c>
      <c r="S80" s="3232"/>
      <c r="T80" s="3233">
        <f t="shared" si="66"/>
        <v>0</v>
      </c>
      <c r="U80" s="619">
        <f t="shared" si="58"/>
        <v>0</v>
      </c>
      <c r="V80" s="620"/>
      <c r="W80" s="554"/>
      <c r="X80" s="711">
        <f>IF(採点Q2!F200="対象外",0,採点Q2!F200)</f>
        <v>3</v>
      </c>
      <c r="Y80" s="3224"/>
      <c r="Z80" s="2445"/>
      <c r="AA80" s="641">
        <f t="shared" ref="AA80:AA81" si="67">IF($AA$3=4,P80,X80)</f>
        <v>3</v>
      </c>
      <c r="AB80" s="622">
        <f>重み!D80</f>
        <v>0.8</v>
      </c>
      <c r="AC80" s="641">
        <f t="shared" ref="AC80:AC81" si="68">IF($AA$3=4,S80,Y80)</f>
        <v>0</v>
      </c>
      <c r="AD80" s="622">
        <f>重み!E80</f>
        <v>0</v>
      </c>
      <c r="AE80" s="601"/>
      <c r="AF80" s="554"/>
      <c r="AG80" s="582">
        <f>重み!M80</f>
        <v>0.8</v>
      </c>
      <c r="AH80" s="568"/>
      <c r="AI80" s="582">
        <f>重み!N80</f>
        <v>0</v>
      </c>
      <c r="AJ80" s="2445"/>
      <c r="AK80" s="2445"/>
      <c r="AL80" s="2445"/>
      <c r="AM80" s="2445"/>
      <c r="AN80" s="2445"/>
      <c r="AO80" s="2445"/>
      <c r="AP80" s="2445"/>
      <c r="AQ80" s="2445"/>
      <c r="AR80" s="2445"/>
      <c r="AS80" s="2445"/>
      <c r="AT80" s="2445"/>
      <c r="AU80" s="2445"/>
      <c r="BM80" s="1" t="s">
        <v>3229</v>
      </c>
      <c r="BN80" s="1">
        <f>IF(AND(ISERROR(Q80)=FALSE,ISERROR(R80)=FALSE,ISERROR(T80)=FALSE,ISERROR(U80)=FALSE),IF(OR(AND(Q80&gt;3,R80&gt;0),AND(T80&gt;3,U80&gt;0)),MAX(Q80,T80),0),0)</f>
        <v>0</v>
      </c>
      <c r="BO80" s="2895" t="str">
        <f t="shared" ref="BO80:BO81" si="69">IF(K80=0,"",K80)</f>
        <v/>
      </c>
    </row>
    <row r="81" spans="2:67" ht="14.25" thickBot="1">
      <c r="B81" s="679"/>
      <c r="C81" s="678"/>
      <c r="D81" s="634">
        <v>2</v>
      </c>
      <c r="E81" s="628" t="s">
        <v>4078</v>
      </c>
      <c r="F81" s="670"/>
      <c r="G81" s="3321" t="s">
        <v>4094</v>
      </c>
      <c r="H81" s="3321" t="s">
        <v>4094</v>
      </c>
      <c r="I81" s="2459"/>
      <c r="J81" s="2460"/>
      <c r="K81" s="3614"/>
      <c r="L81" s="3615"/>
      <c r="M81" s="3615"/>
      <c r="N81" s="3615"/>
      <c r="O81" s="3616"/>
      <c r="P81" s="3215">
        <v>3</v>
      </c>
      <c r="Q81" s="644">
        <f t="shared" si="65"/>
        <v>3</v>
      </c>
      <c r="R81" s="714">
        <f t="shared" si="29"/>
        <v>0.2</v>
      </c>
      <c r="S81" s="3232"/>
      <c r="T81" s="3233">
        <f t="shared" si="66"/>
        <v>0</v>
      </c>
      <c r="U81" s="619">
        <f t="shared" si="58"/>
        <v>0</v>
      </c>
      <c r="V81" s="620"/>
      <c r="W81" s="554"/>
      <c r="X81" s="711">
        <f>IF(採点Q2!K200="対象外",0,採点Q2!K200)</f>
        <v>3</v>
      </c>
      <c r="Y81" s="3224"/>
      <c r="Z81" s="2445"/>
      <c r="AA81" s="641">
        <f t="shared" si="67"/>
        <v>3</v>
      </c>
      <c r="AB81" s="622">
        <f>重み!D81</f>
        <v>0.2</v>
      </c>
      <c r="AC81" s="641">
        <f t="shared" si="68"/>
        <v>0</v>
      </c>
      <c r="AD81" s="622">
        <f>重み!E81</f>
        <v>0</v>
      </c>
      <c r="AE81" s="601"/>
      <c r="AF81" s="554"/>
      <c r="AG81" s="582">
        <f>重み!M81</f>
        <v>0.2</v>
      </c>
      <c r="AH81" s="568"/>
      <c r="AI81" s="582">
        <f>重み!N81</f>
        <v>0</v>
      </c>
      <c r="AJ81" s="2445"/>
      <c r="AK81" s="2445"/>
      <c r="AL81" s="2445"/>
      <c r="AM81" s="2445"/>
      <c r="AN81" s="2445"/>
      <c r="AO81" s="2445"/>
      <c r="AP81" s="2445"/>
      <c r="AQ81" s="2445"/>
      <c r="AR81" s="2445"/>
      <c r="AS81" s="2445"/>
      <c r="AT81" s="2445"/>
      <c r="AU81" s="2445"/>
      <c r="BM81" s="1" t="s">
        <v>3230</v>
      </c>
      <c r="BN81" s="1">
        <f>IF(AND(ISERROR(Q81)=FALSE,ISERROR(R81)=FALSE,ISERROR(T81)=FALSE,ISERROR(U81)=FALSE),IF(OR(AND(Q81&gt;3,R81&gt;0),AND(T81&gt;3,U81&gt;0)),MAX(Q81,T81),0),0)</f>
        <v>0</v>
      </c>
      <c r="BO81" s="2895" t="str">
        <f t="shared" si="69"/>
        <v/>
      </c>
    </row>
    <row r="82" spans="2:67" ht="14.25" thickBot="1">
      <c r="B82" s="679"/>
      <c r="C82" s="647">
        <v>2.2000000000000002</v>
      </c>
      <c r="D82" s="663" t="s">
        <v>1821</v>
      </c>
      <c r="E82" s="664"/>
      <c r="F82" s="665"/>
      <c r="G82" s="3320"/>
      <c r="H82" s="3320"/>
      <c r="I82" s="2459"/>
      <c r="J82" s="2460"/>
      <c r="K82" s="2842"/>
      <c r="L82" s="2843"/>
      <c r="M82" s="2843"/>
      <c r="N82" s="2843"/>
      <c r="O82" s="2844"/>
      <c r="P82" s="680">
        <f>ROUNDDOWN(AA82,1)</f>
        <v>3</v>
      </c>
      <c r="Q82" s="680">
        <f t="shared" si="65"/>
        <v>3</v>
      </c>
      <c r="R82" s="618">
        <f>AB82</f>
        <v>0.3</v>
      </c>
      <c r="S82" s="3230">
        <f>ROUNDDOWN(AC82,1)</f>
        <v>0</v>
      </c>
      <c r="T82" s="3231">
        <f t="shared" si="66"/>
        <v>0</v>
      </c>
      <c r="U82" s="619">
        <f t="shared" si="58"/>
        <v>0</v>
      </c>
      <c r="V82" s="620"/>
      <c r="W82" s="554"/>
      <c r="X82" s="716"/>
      <c r="Y82" s="3224"/>
      <c r="Z82" s="2445"/>
      <c r="AA82" s="621">
        <f>SUMPRODUCT(AA83:AA88,AB83:AB88)</f>
        <v>3.0000000000000004</v>
      </c>
      <c r="AB82" s="622">
        <f>重み!D82</f>
        <v>0.3</v>
      </c>
      <c r="AC82" s="621">
        <f>SUMPRODUCT(AC83:AC88,AD83:AD88)</f>
        <v>0</v>
      </c>
      <c r="AD82" s="622">
        <f>重み!E82</f>
        <v>0</v>
      </c>
      <c r="AE82" s="601"/>
      <c r="AF82" s="554"/>
      <c r="AG82" s="582">
        <f>重み!M82</f>
        <v>0.3</v>
      </c>
      <c r="AH82" s="568"/>
      <c r="AI82" s="582">
        <f>重み!N82</f>
        <v>0</v>
      </c>
      <c r="AJ82" s="2445"/>
      <c r="AK82" s="2445"/>
      <c r="AL82" s="2445"/>
      <c r="AM82" s="2445"/>
      <c r="AN82" s="2445"/>
      <c r="AO82" s="2445"/>
      <c r="AP82" s="2445"/>
      <c r="AQ82" s="2445"/>
      <c r="AR82" s="2445"/>
      <c r="AS82" s="2445"/>
      <c r="AT82" s="2445"/>
      <c r="AU82" s="2445"/>
      <c r="BM82" s="1"/>
      <c r="BN82" s="1"/>
      <c r="BO82" s="2895"/>
    </row>
    <row r="83" spans="2:67">
      <c r="B83" s="679"/>
      <c r="C83" s="669"/>
      <c r="D83" s="634">
        <v>1</v>
      </c>
      <c r="E83" s="628" t="s">
        <v>620</v>
      </c>
      <c r="F83" s="670"/>
      <c r="G83" s="3321" t="s">
        <v>4095</v>
      </c>
      <c r="H83" s="3321" t="s">
        <v>4095</v>
      </c>
      <c r="I83" s="2465" t="s">
        <v>2521</v>
      </c>
      <c r="J83" s="2466" t="s">
        <v>2518</v>
      </c>
      <c r="K83" s="3614"/>
      <c r="L83" s="3615"/>
      <c r="M83" s="3615"/>
      <c r="N83" s="3615"/>
      <c r="O83" s="3616"/>
      <c r="P83" s="3197">
        <v>0</v>
      </c>
      <c r="Q83" s="637">
        <f t="shared" si="65"/>
        <v>3</v>
      </c>
      <c r="R83" s="714">
        <f t="shared" si="29"/>
        <v>0.2</v>
      </c>
      <c r="S83" s="3232"/>
      <c r="T83" s="3233">
        <f t="shared" si="66"/>
        <v>0</v>
      </c>
      <c r="U83" s="619">
        <f t="shared" si="58"/>
        <v>0</v>
      </c>
      <c r="V83" s="620"/>
      <c r="W83" s="554"/>
      <c r="X83" s="689">
        <f>IF(採点Q2!F210="対象外",0,採点Q2!F210)</f>
        <v>3</v>
      </c>
      <c r="Y83" s="3224"/>
      <c r="Z83" s="2445"/>
      <c r="AA83" s="641">
        <f t="shared" ref="AA83:AA88" si="70">IF($AA$3=4,P83,X83)</f>
        <v>3</v>
      </c>
      <c r="AB83" s="622">
        <f>重み!D83</f>
        <v>0.2</v>
      </c>
      <c r="AC83" s="641">
        <f t="shared" ref="AC83:AC88" si="71">IF($AA$3=4,S83,Y83)</f>
        <v>0</v>
      </c>
      <c r="AD83" s="622">
        <f>重み!E83</f>
        <v>0</v>
      </c>
      <c r="AE83" s="601"/>
      <c r="AF83" s="554"/>
      <c r="AG83" s="582">
        <f>重み!M83</f>
        <v>0.2</v>
      </c>
      <c r="AH83" s="568"/>
      <c r="AI83" s="582">
        <f>重み!N83</f>
        <v>0</v>
      </c>
      <c r="AJ83" s="2445"/>
      <c r="AK83" s="2445"/>
      <c r="AL83" s="2445"/>
      <c r="AM83" s="2445"/>
      <c r="AN83" s="2445"/>
      <c r="AO83" s="2445"/>
      <c r="AP83" s="2445"/>
      <c r="AQ83" s="2445"/>
      <c r="AR83" s="2445"/>
      <c r="AS83" s="2445"/>
      <c r="AT83" s="2445"/>
      <c r="AU83" s="2445"/>
      <c r="BM83" s="1" t="s">
        <v>3231</v>
      </c>
      <c r="BN83" s="1">
        <f t="shared" ref="BN83:BN88" si="72">IF(AND(ISERROR(Q83)=FALSE,ISERROR(R83)=FALSE,ISERROR(T83)=FALSE,ISERROR(U83)=FALSE),IF(OR(AND(Q83&gt;3,R83&gt;0),AND(T83&gt;3,U83&gt;0)),MAX(Q83,T83),0),0)</f>
        <v>0</v>
      </c>
      <c r="BO83" s="2895" t="str">
        <f t="shared" ref="BO83:BO88" si="73">IF(K83=0,"",K83)</f>
        <v/>
      </c>
    </row>
    <row r="84" spans="2:67">
      <c r="B84" s="679"/>
      <c r="C84" s="669"/>
      <c r="D84" s="634">
        <v>2</v>
      </c>
      <c r="E84" s="628" t="s">
        <v>621</v>
      </c>
      <c r="F84" s="670"/>
      <c r="G84" s="3321" t="s">
        <v>4095</v>
      </c>
      <c r="H84" s="3321" t="s">
        <v>4095</v>
      </c>
      <c r="I84" s="2459"/>
      <c r="J84" s="2460"/>
      <c r="K84" s="3614"/>
      <c r="L84" s="3615"/>
      <c r="M84" s="3615"/>
      <c r="N84" s="3615"/>
      <c r="O84" s="3616"/>
      <c r="P84" s="3198">
        <v>0</v>
      </c>
      <c r="Q84" s="651">
        <f t="shared" si="65"/>
        <v>3</v>
      </c>
      <c r="R84" s="714">
        <f t="shared" si="29"/>
        <v>0.2</v>
      </c>
      <c r="S84" s="3232"/>
      <c r="T84" s="3233">
        <f t="shared" si="66"/>
        <v>0</v>
      </c>
      <c r="U84" s="619">
        <f t="shared" si="58"/>
        <v>0</v>
      </c>
      <c r="V84" s="620"/>
      <c r="W84" s="554"/>
      <c r="X84" s="711">
        <f>IF(採点Q2!K210="対象外",0,採点Q2!K210)</f>
        <v>3</v>
      </c>
      <c r="Y84" s="3224"/>
      <c r="Z84" s="2445"/>
      <c r="AA84" s="641">
        <f t="shared" si="70"/>
        <v>3</v>
      </c>
      <c r="AB84" s="622">
        <f>重み!D84</f>
        <v>0.2</v>
      </c>
      <c r="AC84" s="641">
        <f t="shared" si="71"/>
        <v>0</v>
      </c>
      <c r="AD84" s="622">
        <f>重み!E84</f>
        <v>0</v>
      </c>
      <c r="AE84" s="601"/>
      <c r="AF84" s="554"/>
      <c r="AG84" s="582">
        <f>重み!M84</f>
        <v>0.2</v>
      </c>
      <c r="AH84" s="568"/>
      <c r="AI84" s="582">
        <f>重み!N84</f>
        <v>0</v>
      </c>
      <c r="AJ84" s="2445"/>
      <c r="AK84" s="2445"/>
      <c r="AL84" s="2445"/>
      <c r="AM84" s="2445"/>
      <c r="AN84" s="2445"/>
      <c r="AO84" s="2445"/>
      <c r="AP84" s="2445"/>
      <c r="AQ84" s="2445"/>
      <c r="AR84" s="2445"/>
      <c r="AS84" s="2445"/>
      <c r="AT84" s="2445"/>
      <c r="AU84" s="2445"/>
      <c r="BM84" s="1" t="s">
        <v>3232</v>
      </c>
      <c r="BN84" s="1">
        <f t="shared" si="72"/>
        <v>0</v>
      </c>
      <c r="BO84" s="2895" t="str">
        <f t="shared" si="73"/>
        <v/>
      </c>
    </row>
    <row r="85" spans="2:67">
      <c r="B85" s="679"/>
      <c r="C85" s="669"/>
      <c r="D85" s="634">
        <v>3</v>
      </c>
      <c r="E85" s="3636" t="s">
        <v>622</v>
      </c>
      <c r="F85" s="3637"/>
      <c r="G85" s="3321" t="s">
        <v>4095</v>
      </c>
      <c r="H85" s="3321" t="s">
        <v>4095</v>
      </c>
      <c r="I85" s="2459"/>
      <c r="J85" s="2460"/>
      <c r="K85" s="3614"/>
      <c r="L85" s="3615"/>
      <c r="M85" s="3615"/>
      <c r="N85" s="3615"/>
      <c r="O85" s="3616"/>
      <c r="P85" s="3198">
        <v>0</v>
      </c>
      <c r="Q85" s="651">
        <f t="shared" si="65"/>
        <v>3</v>
      </c>
      <c r="R85" s="714">
        <f t="shared" si="29"/>
        <v>0.1</v>
      </c>
      <c r="S85" s="3232"/>
      <c r="T85" s="3233">
        <f t="shared" si="66"/>
        <v>0</v>
      </c>
      <c r="U85" s="619">
        <f t="shared" si="58"/>
        <v>0</v>
      </c>
      <c r="V85" s="620"/>
      <c r="W85" s="554"/>
      <c r="X85" s="711">
        <f>IF(採点Q2!F219="対象外",0,採点Q2!F219)</f>
        <v>3</v>
      </c>
      <c r="Y85" s="3224"/>
      <c r="Z85" s="2445"/>
      <c r="AA85" s="641">
        <f t="shared" si="70"/>
        <v>3</v>
      </c>
      <c r="AB85" s="622">
        <f>重み!D85</f>
        <v>0.1</v>
      </c>
      <c r="AC85" s="641">
        <f t="shared" si="71"/>
        <v>0</v>
      </c>
      <c r="AD85" s="622">
        <f>重み!E85</f>
        <v>0</v>
      </c>
      <c r="AE85" s="601"/>
      <c r="AF85" s="554"/>
      <c r="AG85" s="582">
        <f>重み!M85</f>
        <v>0.1</v>
      </c>
      <c r="AH85" s="568"/>
      <c r="AI85" s="582">
        <f>重み!N85</f>
        <v>0</v>
      </c>
      <c r="AJ85" s="2445"/>
      <c r="AK85" s="2445"/>
      <c r="AL85" s="2445"/>
      <c r="AM85" s="2445"/>
      <c r="AN85" s="2445"/>
      <c r="AO85" s="2445"/>
      <c r="AP85" s="2445"/>
      <c r="AQ85" s="2445"/>
      <c r="AR85" s="2445"/>
      <c r="AS85" s="2445"/>
      <c r="AT85" s="2445"/>
      <c r="AU85" s="2445"/>
      <c r="BM85" s="1" t="s">
        <v>3233</v>
      </c>
      <c r="BN85" s="1">
        <f t="shared" si="72"/>
        <v>0</v>
      </c>
      <c r="BO85" s="2895" t="str">
        <f t="shared" si="73"/>
        <v/>
      </c>
    </row>
    <row r="86" spans="2:67">
      <c r="B86" s="679"/>
      <c r="C86" s="669"/>
      <c r="D86" s="634">
        <v>4</v>
      </c>
      <c r="E86" s="628" t="s">
        <v>623</v>
      </c>
      <c r="F86" s="670"/>
      <c r="G86" s="3321" t="s">
        <v>4095</v>
      </c>
      <c r="H86" s="3321" t="s">
        <v>4095</v>
      </c>
      <c r="I86" s="2459"/>
      <c r="J86" s="2460"/>
      <c r="K86" s="3614"/>
      <c r="L86" s="3615"/>
      <c r="M86" s="3615"/>
      <c r="N86" s="3615"/>
      <c r="O86" s="3616"/>
      <c r="P86" s="3198">
        <v>0</v>
      </c>
      <c r="Q86" s="651">
        <f t="shared" si="65"/>
        <v>3</v>
      </c>
      <c r="R86" s="714">
        <f t="shared" si="29"/>
        <v>0.1</v>
      </c>
      <c r="S86" s="3232"/>
      <c r="T86" s="3233">
        <f t="shared" si="66"/>
        <v>0</v>
      </c>
      <c r="U86" s="619">
        <f t="shared" si="58"/>
        <v>0</v>
      </c>
      <c r="V86" s="620"/>
      <c r="W86" s="554"/>
      <c r="X86" s="711">
        <f>IF(採点Q2!K219="対象外",0,採点Q2!K219)</f>
        <v>3</v>
      </c>
      <c r="Y86" s="3224"/>
      <c r="Z86" s="2445"/>
      <c r="AA86" s="641">
        <f t="shared" si="70"/>
        <v>3</v>
      </c>
      <c r="AB86" s="622">
        <f>重み!D86</f>
        <v>0.1</v>
      </c>
      <c r="AC86" s="641">
        <f t="shared" si="71"/>
        <v>0</v>
      </c>
      <c r="AD86" s="622">
        <f>重み!E86</f>
        <v>0</v>
      </c>
      <c r="AE86" s="601"/>
      <c r="AF86" s="554"/>
      <c r="AG86" s="582">
        <f>重み!M86</f>
        <v>0.1</v>
      </c>
      <c r="AH86" s="568"/>
      <c r="AI86" s="582">
        <f>重み!N86</f>
        <v>0</v>
      </c>
      <c r="AJ86" s="2445"/>
      <c r="AK86" s="2445"/>
      <c r="AL86" s="2445"/>
      <c r="AM86" s="2445"/>
      <c r="AN86" s="2445"/>
      <c r="AO86" s="2445"/>
      <c r="AP86" s="2445"/>
      <c r="AQ86" s="2445"/>
      <c r="AR86" s="2445"/>
      <c r="AS86" s="2445"/>
      <c r="AT86" s="2445"/>
      <c r="AU86" s="2445"/>
      <c r="BM86" s="1" t="s">
        <v>3234</v>
      </c>
      <c r="BN86" s="1">
        <f t="shared" si="72"/>
        <v>0</v>
      </c>
      <c r="BO86" s="2895" t="str">
        <f t="shared" si="73"/>
        <v/>
      </c>
    </row>
    <row r="87" spans="2:67">
      <c r="B87" s="679"/>
      <c r="C87" s="669"/>
      <c r="D87" s="634">
        <v>5</v>
      </c>
      <c r="E87" s="3636" t="s">
        <v>624</v>
      </c>
      <c r="F87" s="3637"/>
      <c r="G87" s="3321" t="s">
        <v>4095</v>
      </c>
      <c r="H87" s="3321" t="s">
        <v>4095</v>
      </c>
      <c r="I87" s="2459"/>
      <c r="J87" s="2460"/>
      <c r="K87" s="3614"/>
      <c r="L87" s="3615"/>
      <c r="M87" s="3615"/>
      <c r="N87" s="3615"/>
      <c r="O87" s="3616"/>
      <c r="P87" s="3198">
        <v>0</v>
      </c>
      <c r="Q87" s="651">
        <f t="shared" si="65"/>
        <v>3</v>
      </c>
      <c r="R87" s="714">
        <f t="shared" si="29"/>
        <v>0.2</v>
      </c>
      <c r="S87" s="3232"/>
      <c r="T87" s="3233">
        <f t="shared" si="66"/>
        <v>0</v>
      </c>
      <c r="U87" s="619">
        <f t="shared" si="58"/>
        <v>0</v>
      </c>
      <c r="V87" s="620"/>
      <c r="W87" s="554"/>
      <c r="X87" s="711">
        <f>IF(採点Q2!F228="対象外",0,採点Q2!F228)</f>
        <v>3</v>
      </c>
      <c r="Y87" s="3224"/>
      <c r="Z87" s="2445"/>
      <c r="AA87" s="641">
        <f t="shared" si="70"/>
        <v>3</v>
      </c>
      <c r="AB87" s="622">
        <f>重み!D87</f>
        <v>0.2</v>
      </c>
      <c r="AC87" s="641">
        <f t="shared" si="71"/>
        <v>0</v>
      </c>
      <c r="AD87" s="622">
        <f>重み!E87</f>
        <v>0</v>
      </c>
      <c r="AE87" s="601"/>
      <c r="AF87" s="554"/>
      <c r="AG87" s="582">
        <f>重み!M87</f>
        <v>0.2</v>
      </c>
      <c r="AH87" s="568"/>
      <c r="AI87" s="582">
        <f>重み!N87</f>
        <v>0</v>
      </c>
      <c r="AJ87" s="2445"/>
      <c r="AK87" s="2445"/>
      <c r="AL87" s="2445"/>
      <c r="AM87" s="2445"/>
      <c r="AN87" s="2445"/>
      <c r="AO87" s="2445"/>
      <c r="AP87" s="2445"/>
      <c r="AQ87" s="2445"/>
      <c r="AR87" s="2445"/>
      <c r="AS87" s="2445"/>
      <c r="AT87" s="2445"/>
      <c r="AU87" s="2445"/>
      <c r="BM87" s="1" t="s">
        <v>3235</v>
      </c>
      <c r="BN87" s="1">
        <f t="shared" si="72"/>
        <v>0</v>
      </c>
      <c r="BO87" s="2895" t="str">
        <f t="shared" si="73"/>
        <v/>
      </c>
    </row>
    <row r="88" spans="2:67" ht="14.25" thickBot="1">
      <c r="B88" s="679"/>
      <c r="C88" s="678"/>
      <c r="D88" s="634">
        <v>6</v>
      </c>
      <c r="E88" s="628" t="s">
        <v>625</v>
      </c>
      <c r="F88" s="670"/>
      <c r="G88" s="3322" t="s">
        <v>4095</v>
      </c>
      <c r="H88" s="3322" t="s">
        <v>4095</v>
      </c>
      <c r="I88" s="2473"/>
      <c r="J88" s="2474"/>
      <c r="K88" s="3638"/>
      <c r="L88" s="3639"/>
      <c r="M88" s="3639"/>
      <c r="N88" s="3639"/>
      <c r="O88" s="3640"/>
      <c r="P88" s="3215">
        <v>0</v>
      </c>
      <c r="Q88" s="644">
        <f t="shared" si="65"/>
        <v>3</v>
      </c>
      <c r="R88" s="718">
        <f t="shared" si="29"/>
        <v>0.2</v>
      </c>
      <c r="S88" s="3234"/>
      <c r="T88" s="3235">
        <f t="shared" si="66"/>
        <v>0</v>
      </c>
      <c r="U88" s="708">
        <f t="shared" si="58"/>
        <v>0</v>
      </c>
      <c r="V88" s="709"/>
      <c r="W88" s="554"/>
      <c r="X88" s="695">
        <f>IF(採点Q2!K228="対象外",0,採点Q2!K228)</f>
        <v>3</v>
      </c>
      <c r="Y88" s="3224"/>
      <c r="Z88" s="2445"/>
      <c r="AA88" s="641">
        <f t="shared" si="70"/>
        <v>3</v>
      </c>
      <c r="AB88" s="622">
        <f>重み!D88</f>
        <v>0.2</v>
      </c>
      <c r="AC88" s="641">
        <f t="shared" si="71"/>
        <v>0</v>
      </c>
      <c r="AD88" s="622">
        <f>重み!E88</f>
        <v>0</v>
      </c>
      <c r="AE88" s="601"/>
      <c r="AF88" s="554"/>
      <c r="AG88" s="582">
        <f>重み!M88</f>
        <v>0.2</v>
      </c>
      <c r="AH88" s="568"/>
      <c r="AI88" s="582">
        <f>重み!N88</f>
        <v>0</v>
      </c>
      <c r="AJ88" s="2445"/>
      <c r="AK88" s="2445"/>
      <c r="AL88" s="2445"/>
      <c r="AM88" s="2445"/>
      <c r="AN88" s="2445"/>
      <c r="AO88" s="2445"/>
      <c r="AP88" s="2445"/>
      <c r="AQ88" s="2445"/>
      <c r="AR88" s="2445"/>
      <c r="AS88" s="2445"/>
      <c r="AT88" s="2445"/>
      <c r="AU88" s="2445"/>
      <c r="BM88" s="1" t="s">
        <v>3236</v>
      </c>
      <c r="BN88" s="1">
        <f t="shared" si="72"/>
        <v>0</v>
      </c>
      <c r="BO88" s="2895" t="str">
        <f t="shared" si="73"/>
        <v/>
      </c>
    </row>
    <row r="89" spans="2:67" hidden="1">
      <c r="B89" s="679"/>
      <c r="C89" s="647">
        <v>2.2999999999999998</v>
      </c>
      <c r="D89" s="627" t="s">
        <v>626</v>
      </c>
      <c r="E89" s="664"/>
      <c r="F89" s="665"/>
      <c r="G89" s="3323"/>
      <c r="H89" s="3323"/>
      <c r="I89" s="2475"/>
      <c r="J89" s="2476"/>
      <c r="K89" s="2857"/>
      <c r="L89" s="2858"/>
      <c r="M89" s="2858"/>
      <c r="N89" s="2858"/>
      <c r="O89" s="2858"/>
      <c r="P89" s="680">
        <f>ROUNDDOWN(AA89,1)</f>
        <v>0</v>
      </c>
      <c r="Q89" s="680">
        <f t="shared" si="65"/>
        <v>0</v>
      </c>
      <c r="R89" s="666">
        <f>AB89</f>
        <v>0</v>
      </c>
      <c r="S89" s="3236">
        <f>ROUNDDOWN(AC89,1)</f>
        <v>0</v>
      </c>
      <c r="T89" s="3237">
        <f t="shared" si="66"/>
        <v>0</v>
      </c>
      <c r="U89" s="668">
        <f t="shared" si="58"/>
        <v>0</v>
      </c>
      <c r="V89" s="632"/>
      <c r="W89" s="554"/>
      <c r="X89" s="716"/>
      <c r="Y89" s="3224"/>
      <c r="Z89" s="2445"/>
      <c r="AA89" s="621">
        <f>SUMPRODUCT(AA90:AA92,AB90:AB92)</f>
        <v>0</v>
      </c>
      <c r="AB89" s="622">
        <f>重み!D89</f>
        <v>0</v>
      </c>
      <c r="AC89" s="621">
        <f>SUMPRODUCT(AC90:AC92,AD90:AD92)</f>
        <v>0</v>
      </c>
      <c r="AD89" s="622">
        <f>重み!E89</f>
        <v>0</v>
      </c>
      <c r="AE89" s="601"/>
      <c r="AF89" s="554"/>
      <c r="AG89" s="582">
        <f>重み!M89</f>
        <v>0</v>
      </c>
      <c r="AH89" s="568"/>
      <c r="AI89" s="582">
        <f>重み!N89</f>
        <v>0</v>
      </c>
      <c r="AJ89" s="2445"/>
      <c r="AK89" s="2445"/>
      <c r="AL89" s="2445"/>
      <c r="AM89" s="2445"/>
      <c r="AN89" s="2445"/>
      <c r="AO89" s="2445"/>
      <c r="AP89" s="2445"/>
      <c r="AQ89" s="2445"/>
      <c r="AR89" s="2445"/>
      <c r="AS89" s="2445"/>
      <c r="AT89" s="2445"/>
      <c r="AU89" s="2445"/>
      <c r="BM89" s="1"/>
      <c r="BN89" s="1"/>
      <c r="BO89" s="2895">
        <f t="shared" ref="BO89:BO137" si="74">K89</f>
        <v>0</v>
      </c>
    </row>
    <row r="90" spans="2:67" hidden="1">
      <c r="B90" s="679"/>
      <c r="C90" s="633"/>
      <c r="D90" s="634">
        <v>1</v>
      </c>
      <c r="E90" s="628" t="s">
        <v>63</v>
      </c>
      <c r="F90" s="670"/>
      <c r="G90" s="3303"/>
      <c r="H90" s="3303"/>
      <c r="I90" s="2459"/>
      <c r="J90" s="2460"/>
      <c r="K90" s="3614"/>
      <c r="L90" s="3615"/>
      <c r="M90" s="3615"/>
      <c r="N90" s="3615"/>
      <c r="O90" s="3616"/>
      <c r="P90" s="3197">
        <v>0</v>
      </c>
      <c r="Q90" s="637">
        <f t="shared" si="65"/>
        <v>3</v>
      </c>
      <c r="R90" s="714">
        <f t="shared" si="29"/>
        <v>0</v>
      </c>
      <c r="S90" s="3232"/>
      <c r="T90" s="3233">
        <f t="shared" si="66"/>
        <v>0</v>
      </c>
      <c r="U90" s="619">
        <f t="shared" si="58"/>
        <v>0</v>
      </c>
      <c r="V90" s="620"/>
      <c r="W90" s="554"/>
      <c r="X90" s="689">
        <f>採点Q2!F238</f>
        <v>3</v>
      </c>
      <c r="Y90" s="3224"/>
      <c r="Z90" s="2445"/>
      <c r="AA90" s="641">
        <f t="shared" ref="AA90:AA92" si="75">IF($AA$3=4,P90,X90)</f>
        <v>3</v>
      </c>
      <c r="AB90" s="622">
        <f>重み!D90</f>
        <v>0</v>
      </c>
      <c r="AC90" s="641">
        <f t="shared" ref="AC90:AC92" si="76">IF($AA$3=4,S90,Y90)</f>
        <v>0</v>
      </c>
      <c r="AD90" s="622">
        <f>重み!E90</f>
        <v>0</v>
      </c>
      <c r="AE90" s="601"/>
      <c r="AF90" s="554"/>
      <c r="AG90" s="582">
        <f>重み!M90</f>
        <v>0</v>
      </c>
      <c r="AH90" s="568"/>
      <c r="AI90" s="582">
        <f>重み!N90</f>
        <v>0</v>
      </c>
      <c r="AJ90" s="2445"/>
      <c r="AK90" s="2445"/>
      <c r="AL90" s="2445"/>
      <c r="AM90" s="2445"/>
      <c r="AN90" s="2445"/>
      <c r="AO90" s="2445"/>
      <c r="AP90" s="2445"/>
      <c r="AQ90" s="2445"/>
      <c r="AR90" s="2445"/>
      <c r="AS90" s="2445"/>
      <c r="AT90" s="2445"/>
      <c r="AU90" s="2445"/>
      <c r="BM90" s="1"/>
      <c r="BN90" s="1"/>
      <c r="BO90" s="2895">
        <f t="shared" si="74"/>
        <v>0</v>
      </c>
    </row>
    <row r="91" spans="2:67" hidden="1">
      <c r="B91" s="679"/>
      <c r="C91" s="633"/>
      <c r="D91" s="634">
        <v>2</v>
      </c>
      <c r="E91" s="628" t="s">
        <v>64</v>
      </c>
      <c r="F91" s="670"/>
      <c r="G91" s="3303"/>
      <c r="H91" s="3303"/>
      <c r="I91" s="2459"/>
      <c r="J91" s="2460"/>
      <c r="K91" s="3614"/>
      <c r="L91" s="3615"/>
      <c r="M91" s="3615"/>
      <c r="N91" s="3615"/>
      <c r="O91" s="3616"/>
      <c r="P91" s="3198">
        <v>0</v>
      </c>
      <c r="Q91" s="651">
        <f t="shared" si="65"/>
        <v>3</v>
      </c>
      <c r="R91" s="714">
        <f t="shared" si="29"/>
        <v>0</v>
      </c>
      <c r="S91" s="3232"/>
      <c r="T91" s="3233">
        <f t="shared" si="66"/>
        <v>0</v>
      </c>
      <c r="U91" s="619">
        <f t="shared" si="58"/>
        <v>0</v>
      </c>
      <c r="V91" s="620"/>
      <c r="W91" s="554"/>
      <c r="X91" s="711">
        <f>採点Q2!K238</f>
        <v>3</v>
      </c>
      <c r="Y91" s="3224"/>
      <c r="Z91" s="2445"/>
      <c r="AA91" s="641">
        <f t="shared" si="75"/>
        <v>3</v>
      </c>
      <c r="AB91" s="622">
        <f>重み!D91</f>
        <v>0</v>
      </c>
      <c r="AC91" s="641">
        <f t="shared" si="76"/>
        <v>0</v>
      </c>
      <c r="AD91" s="622">
        <f>重み!E91</f>
        <v>0</v>
      </c>
      <c r="AE91" s="601"/>
      <c r="AF91" s="554"/>
      <c r="AG91" s="582">
        <f>重み!M91</f>
        <v>0</v>
      </c>
      <c r="AH91" s="568"/>
      <c r="AI91" s="582">
        <f>重み!N91</f>
        <v>0</v>
      </c>
      <c r="AJ91" s="2445"/>
      <c r="AK91" s="2445"/>
      <c r="AL91" s="2445"/>
      <c r="AM91" s="2445"/>
      <c r="AN91" s="2445"/>
      <c r="AO91" s="2445"/>
      <c r="AP91" s="2445"/>
      <c r="AQ91" s="2445"/>
      <c r="AR91" s="2445"/>
      <c r="AS91" s="2445"/>
      <c r="AT91" s="2445"/>
      <c r="AU91" s="2445"/>
      <c r="BM91" s="1"/>
      <c r="BN91" s="1"/>
      <c r="BO91" s="2895">
        <f t="shared" si="74"/>
        <v>0</v>
      </c>
    </row>
    <row r="92" spans="2:67" ht="14.25" hidden="1" thickBot="1">
      <c r="B92" s="679"/>
      <c r="C92" s="633"/>
      <c r="D92" s="729">
        <v>3</v>
      </c>
      <c r="E92" s="627" t="s">
        <v>65</v>
      </c>
      <c r="F92" s="665"/>
      <c r="G92" s="3303"/>
      <c r="H92" s="3303"/>
      <c r="I92" s="2459"/>
      <c r="J92" s="2460"/>
      <c r="K92" s="3614"/>
      <c r="L92" s="3615"/>
      <c r="M92" s="3615"/>
      <c r="N92" s="3615"/>
      <c r="O92" s="3616"/>
      <c r="P92" s="3198">
        <v>0</v>
      </c>
      <c r="Q92" s="651">
        <f t="shared" si="65"/>
        <v>3</v>
      </c>
      <c r="R92" s="714">
        <f t="shared" si="29"/>
        <v>0</v>
      </c>
      <c r="S92" s="3232"/>
      <c r="T92" s="3233">
        <f t="shared" si="66"/>
        <v>0</v>
      </c>
      <c r="U92" s="619">
        <f t="shared" si="58"/>
        <v>0</v>
      </c>
      <c r="V92" s="620"/>
      <c r="W92" s="554"/>
      <c r="X92" s="695">
        <f>採点Q2!F247</f>
        <v>3</v>
      </c>
      <c r="Y92" s="3224"/>
      <c r="Z92" s="2445"/>
      <c r="AA92" s="641">
        <f t="shared" si="75"/>
        <v>3</v>
      </c>
      <c r="AB92" s="622">
        <f>重み!D92</f>
        <v>0</v>
      </c>
      <c r="AC92" s="641">
        <f t="shared" si="76"/>
        <v>0</v>
      </c>
      <c r="AD92" s="622">
        <f>重み!E92</f>
        <v>0</v>
      </c>
      <c r="AE92" s="601"/>
      <c r="AF92" s="554"/>
      <c r="AG92" s="582">
        <f>重み!M92</f>
        <v>0</v>
      </c>
      <c r="AH92" s="568"/>
      <c r="AI92" s="582">
        <f>重み!N92</f>
        <v>0</v>
      </c>
      <c r="AJ92" s="2445"/>
      <c r="AK92" s="2445"/>
      <c r="AL92" s="2445"/>
      <c r="AM92" s="2445"/>
      <c r="AN92" s="2445"/>
      <c r="AO92" s="2445"/>
      <c r="AP92" s="2445"/>
      <c r="AQ92" s="2445"/>
      <c r="AR92" s="2445"/>
      <c r="AS92" s="2445"/>
      <c r="AT92" s="2445"/>
      <c r="AU92" s="2445"/>
      <c r="BM92" s="1"/>
      <c r="BN92" s="1"/>
      <c r="BO92" s="2895">
        <f t="shared" si="74"/>
        <v>0</v>
      </c>
    </row>
    <row r="93" spans="2:67" ht="14.25" thickBot="1">
      <c r="B93" s="625"/>
      <c r="C93" s="626">
        <v>2.4</v>
      </c>
      <c r="D93" s="663" t="s">
        <v>66</v>
      </c>
      <c r="E93" s="664"/>
      <c r="F93" s="665"/>
      <c r="G93" s="3372"/>
      <c r="H93" s="3372"/>
      <c r="I93" s="2475"/>
      <c r="J93" s="2476"/>
      <c r="K93" s="2848"/>
      <c r="L93" s="2849"/>
      <c r="M93" s="2849"/>
      <c r="N93" s="2849"/>
      <c r="O93" s="2850"/>
      <c r="P93" s="630">
        <f>ROUNDDOWN(AA93,1)</f>
        <v>3</v>
      </c>
      <c r="Q93" s="630">
        <f t="shared" si="65"/>
        <v>3</v>
      </c>
      <c r="R93" s="666">
        <f>AB93</f>
        <v>0.2</v>
      </c>
      <c r="S93" s="3236">
        <f>ROUNDDOWN(AC93,1)</f>
        <v>0</v>
      </c>
      <c r="T93" s="3237">
        <f t="shared" si="66"/>
        <v>0</v>
      </c>
      <c r="U93" s="668">
        <f t="shared" si="58"/>
        <v>0</v>
      </c>
      <c r="V93" s="632"/>
      <c r="W93" s="554"/>
      <c r="X93" s="3224"/>
      <c r="Y93" s="3224"/>
      <c r="Z93" s="2445"/>
      <c r="AA93" s="621">
        <f>SUMPRODUCT(AA94:AA98,AB94:AB98)</f>
        <v>3.0000000000000004</v>
      </c>
      <c r="AB93" s="622">
        <f>重み!D93</f>
        <v>0.2</v>
      </c>
      <c r="AC93" s="621">
        <f>SUMPRODUCT(AC94:AC98,AD94:AD98)</f>
        <v>0</v>
      </c>
      <c r="AD93" s="622">
        <f>重み!E93</f>
        <v>0</v>
      </c>
      <c r="AE93" s="601"/>
      <c r="AF93" s="554"/>
      <c r="AG93" s="582">
        <f>重み!M93</f>
        <v>0.2</v>
      </c>
      <c r="AH93" s="568"/>
      <c r="AI93" s="582">
        <f>重み!N93</f>
        <v>0</v>
      </c>
      <c r="AJ93" s="2445"/>
      <c r="AK93" s="2445"/>
      <c r="AL93" s="2445"/>
      <c r="AM93" s="2445"/>
      <c r="AN93" s="2445"/>
      <c r="AO93" s="2445"/>
      <c r="AP93" s="2445"/>
      <c r="AQ93" s="2445"/>
      <c r="AR93" s="2445"/>
      <c r="AS93" s="2445"/>
      <c r="AT93" s="2445"/>
      <c r="AU93" s="2445"/>
      <c r="AY93"/>
      <c r="AZ93"/>
      <c r="BA93"/>
      <c r="BM93" s="1"/>
      <c r="BN93" s="1"/>
      <c r="BO93" s="2895"/>
    </row>
    <row r="94" spans="2:67">
      <c r="B94" s="625"/>
      <c r="C94" s="669"/>
      <c r="D94" s="634">
        <v>1</v>
      </c>
      <c r="E94" s="628" t="s">
        <v>67</v>
      </c>
      <c r="F94" s="670"/>
      <c r="G94" s="3321" t="s">
        <v>4096</v>
      </c>
      <c r="H94" s="3321" t="s">
        <v>4096</v>
      </c>
      <c r="I94" s="2459"/>
      <c r="J94" s="2460"/>
      <c r="K94" s="3614"/>
      <c r="L94" s="3615"/>
      <c r="M94" s="3615"/>
      <c r="N94" s="3615"/>
      <c r="O94" s="3616"/>
      <c r="P94" s="3197">
        <v>3</v>
      </c>
      <c r="Q94" s="637">
        <f t="shared" si="65"/>
        <v>3</v>
      </c>
      <c r="R94" s="714">
        <f t="shared" si="29"/>
        <v>0.2</v>
      </c>
      <c r="S94" s="3232"/>
      <c r="T94" s="3233">
        <f t="shared" si="66"/>
        <v>0</v>
      </c>
      <c r="U94" s="619">
        <f t="shared" si="58"/>
        <v>0</v>
      </c>
      <c r="V94" s="620"/>
      <c r="W94" s="554"/>
      <c r="X94" s="689">
        <f>IF(採点Q2!F257="対象外",0,採点Q2!F257)</f>
        <v>3</v>
      </c>
      <c r="Y94" s="3224"/>
      <c r="Z94" s="2445"/>
      <c r="AA94" s="641">
        <f>IF($AA$3=4,P94,X94)</f>
        <v>3</v>
      </c>
      <c r="AB94" s="622">
        <f>重み!D94</f>
        <v>0.2</v>
      </c>
      <c r="AC94" s="641">
        <f>IF($AA$3=4,S94,Y94)</f>
        <v>0</v>
      </c>
      <c r="AD94" s="622">
        <f>重み!E94</f>
        <v>0</v>
      </c>
      <c r="AE94" s="601"/>
      <c r="AF94" s="554"/>
      <c r="AG94" s="582">
        <f>重み!M94</f>
        <v>0.2</v>
      </c>
      <c r="AH94" s="568"/>
      <c r="AI94" s="582">
        <f>重み!N94</f>
        <v>0</v>
      </c>
      <c r="AJ94" s="2445"/>
      <c r="AK94" s="2445"/>
      <c r="AL94" s="2445"/>
      <c r="AM94" s="2445"/>
      <c r="AN94" s="2445"/>
      <c r="AO94" s="2445"/>
      <c r="AP94" s="2445"/>
      <c r="AQ94" s="2445"/>
      <c r="AR94" s="2445"/>
      <c r="AS94" s="2445"/>
      <c r="AT94" s="2445"/>
      <c r="AU94" s="2445"/>
      <c r="BM94" s="1" t="s">
        <v>3237</v>
      </c>
      <c r="BN94" s="1">
        <f>IF(AND(ISERROR(Q94)=FALSE,ISERROR(R94)=FALSE,ISERROR(T94)=FALSE,ISERROR(U94)=FALSE),IF(OR(AND(Q94&gt;3,R94&gt;0),AND(T94&gt;3,U94&gt;0)),MAX(Q94,T94),0),0)</f>
        <v>0</v>
      </c>
      <c r="BO94" s="2895" t="str">
        <f t="shared" ref="BO94:BO98" si="77">IF(K94=0,"",K94)</f>
        <v/>
      </c>
    </row>
    <row r="95" spans="2:67">
      <c r="B95" s="625"/>
      <c r="C95" s="669"/>
      <c r="D95" s="634">
        <v>2</v>
      </c>
      <c r="E95" s="628" t="s">
        <v>68</v>
      </c>
      <c r="F95" s="670"/>
      <c r="G95" s="3321" t="s">
        <v>4097</v>
      </c>
      <c r="H95" s="3321" t="s">
        <v>4097</v>
      </c>
      <c r="I95" s="2459"/>
      <c r="J95" s="2460"/>
      <c r="K95" s="3614"/>
      <c r="L95" s="3615"/>
      <c r="M95" s="3615"/>
      <c r="N95" s="3615"/>
      <c r="O95" s="3616"/>
      <c r="P95" s="3198">
        <v>3</v>
      </c>
      <c r="Q95" s="651">
        <f t="shared" si="65"/>
        <v>3</v>
      </c>
      <c r="R95" s="714">
        <f t="shared" si="29"/>
        <v>0.2</v>
      </c>
      <c r="S95" s="3232"/>
      <c r="T95" s="3233">
        <f t="shared" si="66"/>
        <v>0</v>
      </c>
      <c r="U95" s="619">
        <f t="shared" si="58"/>
        <v>0</v>
      </c>
      <c r="V95" s="620"/>
      <c r="W95" s="554"/>
      <c r="X95" s="711">
        <f>IF(採点Q2!F276="対象外",0,採点Q2!F276)</f>
        <v>3</v>
      </c>
      <c r="Y95" s="3224"/>
      <c r="Z95" s="2445"/>
      <c r="AA95" s="641">
        <f t="shared" ref="AA95:AA98" si="78">IF($AA$3=4,P95,X95)</f>
        <v>3</v>
      </c>
      <c r="AB95" s="622">
        <f>重み!D95</f>
        <v>0.2</v>
      </c>
      <c r="AC95" s="641">
        <f t="shared" ref="AC95:AC98" si="79">IF($AA$3=4,S95,Y95)</f>
        <v>0</v>
      </c>
      <c r="AD95" s="622">
        <f>重み!E95</f>
        <v>0</v>
      </c>
      <c r="AE95" s="601"/>
      <c r="AF95" s="554"/>
      <c r="AG95" s="582">
        <f>重み!M95</f>
        <v>0.2</v>
      </c>
      <c r="AH95" s="568"/>
      <c r="AI95" s="582">
        <f>重み!N95</f>
        <v>0</v>
      </c>
      <c r="AJ95" s="2445"/>
      <c r="AK95" s="2445"/>
      <c r="AL95" s="2445"/>
      <c r="AM95" s="2445"/>
      <c r="AN95" s="2445"/>
      <c r="AO95" s="2445"/>
      <c r="AP95" s="2445"/>
      <c r="AQ95" s="2445"/>
      <c r="AR95" s="2445"/>
      <c r="AS95" s="2445"/>
      <c r="AT95" s="2445"/>
      <c r="AU95" s="2445"/>
      <c r="BM95" s="1" t="s">
        <v>3238</v>
      </c>
      <c r="BN95" s="1">
        <f>IF(AND(ISERROR(Q95)=FALSE,ISERROR(R95)=FALSE,ISERROR(T95)=FALSE,ISERROR(U95)=FALSE),IF(OR(AND(Q95&gt;3,R95&gt;0),AND(T95&gt;3,U95&gt;0)),MAX(Q95,T95),0),0)</f>
        <v>0</v>
      </c>
      <c r="BO95" s="2895" t="str">
        <f t="shared" si="77"/>
        <v/>
      </c>
    </row>
    <row r="96" spans="2:67">
      <c r="B96" s="625"/>
      <c r="C96" s="669"/>
      <c r="D96" s="634">
        <v>3</v>
      </c>
      <c r="E96" s="628" t="s">
        <v>69</v>
      </c>
      <c r="F96" s="670"/>
      <c r="G96" s="3321" t="s">
        <v>4097</v>
      </c>
      <c r="H96" s="3321" t="s">
        <v>4097</v>
      </c>
      <c r="I96" s="2459"/>
      <c r="J96" s="2460"/>
      <c r="K96" s="3614"/>
      <c r="L96" s="3615"/>
      <c r="M96" s="3615"/>
      <c r="N96" s="3615"/>
      <c r="O96" s="3616"/>
      <c r="P96" s="3198">
        <v>3</v>
      </c>
      <c r="Q96" s="651">
        <f t="shared" si="65"/>
        <v>3</v>
      </c>
      <c r="R96" s="714">
        <f t="shared" si="29"/>
        <v>0.2</v>
      </c>
      <c r="S96" s="3232"/>
      <c r="T96" s="3233">
        <f t="shared" si="66"/>
        <v>0</v>
      </c>
      <c r="U96" s="619">
        <f t="shared" si="58"/>
        <v>0</v>
      </c>
      <c r="V96" s="620"/>
      <c r="W96" s="554"/>
      <c r="X96" s="711">
        <f>IF(採点Q2!F298="対象外",0,採点Q2!F298)</f>
        <v>3</v>
      </c>
      <c r="Y96" s="719"/>
      <c r="Z96" s="2445"/>
      <c r="AA96" s="641">
        <f t="shared" si="78"/>
        <v>3</v>
      </c>
      <c r="AB96" s="622">
        <f>重み!D96</f>
        <v>0.2</v>
      </c>
      <c r="AC96" s="641">
        <f t="shared" si="79"/>
        <v>0</v>
      </c>
      <c r="AD96" s="622">
        <f>重み!E96</f>
        <v>0</v>
      </c>
      <c r="AE96" s="601"/>
      <c r="AF96" s="554"/>
      <c r="AG96" s="582">
        <f>重み!M96</f>
        <v>0.2</v>
      </c>
      <c r="AH96" s="568"/>
      <c r="AI96" s="582">
        <f>重み!N96</f>
        <v>0</v>
      </c>
      <c r="AJ96" s="2445"/>
      <c r="AK96" s="2445"/>
      <c r="AL96" s="2445"/>
      <c r="AM96" s="2445"/>
      <c r="AN96" s="2445"/>
      <c r="AO96" s="2445"/>
      <c r="AP96" s="2445"/>
      <c r="AQ96" s="2445"/>
      <c r="AR96" s="2445"/>
      <c r="AS96" s="2445"/>
      <c r="AT96" s="2445"/>
      <c r="AU96" s="2445"/>
      <c r="BM96" s="1" t="s">
        <v>3239</v>
      </c>
      <c r="BN96" s="1">
        <f>IF(AND(ISERROR(Q96)=FALSE,ISERROR(R96)=FALSE,ISERROR(T96)=FALSE,ISERROR(U96)=FALSE),IF(OR(AND(Q96&gt;3,R96&gt;0),AND(T96&gt;3,U96&gt;0)),MAX(Q96,T96),0),0)</f>
        <v>0</v>
      </c>
      <c r="BO96" s="2895" t="str">
        <f t="shared" si="77"/>
        <v/>
      </c>
    </row>
    <row r="97" spans="2:67">
      <c r="B97" s="625"/>
      <c r="C97" s="669"/>
      <c r="D97" s="634">
        <v>4</v>
      </c>
      <c r="E97" s="628" t="s">
        <v>1016</v>
      </c>
      <c r="F97" s="670"/>
      <c r="G97" s="3321" t="s">
        <v>4097</v>
      </c>
      <c r="H97" s="3321" t="s">
        <v>4097</v>
      </c>
      <c r="I97" s="2459"/>
      <c r="J97" s="2460"/>
      <c r="K97" s="3614"/>
      <c r="L97" s="3615"/>
      <c r="M97" s="3615"/>
      <c r="N97" s="3615"/>
      <c r="O97" s="3616"/>
      <c r="P97" s="3198">
        <v>3</v>
      </c>
      <c r="Q97" s="651">
        <f t="shared" si="65"/>
        <v>3</v>
      </c>
      <c r="R97" s="714">
        <f t="shared" si="29"/>
        <v>0.2</v>
      </c>
      <c r="S97" s="3232"/>
      <c r="T97" s="3233">
        <f t="shared" si="66"/>
        <v>0</v>
      </c>
      <c r="U97" s="619">
        <f t="shared" si="58"/>
        <v>0</v>
      </c>
      <c r="V97" s="620"/>
      <c r="W97" s="554"/>
      <c r="X97" s="711">
        <f>IF(採点Q2!F318="対象外",0,採点Q2!F318)</f>
        <v>3</v>
      </c>
      <c r="Y97" s="719"/>
      <c r="Z97" s="2445"/>
      <c r="AA97" s="641">
        <f t="shared" si="78"/>
        <v>3</v>
      </c>
      <c r="AB97" s="622">
        <f>重み!D97</f>
        <v>0.2</v>
      </c>
      <c r="AC97" s="641">
        <f t="shared" si="79"/>
        <v>0</v>
      </c>
      <c r="AD97" s="622">
        <f>重み!E97</f>
        <v>0</v>
      </c>
      <c r="AE97" s="601"/>
      <c r="AF97" s="554"/>
      <c r="AG97" s="582">
        <f>重み!M97</f>
        <v>0.2</v>
      </c>
      <c r="AH97" s="568"/>
      <c r="AI97" s="582">
        <f>重み!N97</f>
        <v>0</v>
      </c>
      <c r="AJ97" s="2445"/>
      <c r="AK97" s="2445"/>
      <c r="AL97" s="2445"/>
      <c r="AM97" s="2445"/>
      <c r="AN97" s="2445"/>
      <c r="AO97" s="2445"/>
      <c r="AP97" s="2445"/>
      <c r="AQ97" s="2445"/>
      <c r="AR97" s="2445"/>
      <c r="AS97" s="2445"/>
      <c r="AT97" s="2445"/>
      <c r="AU97" s="2445"/>
      <c r="BM97" s="1" t="s">
        <v>3240</v>
      </c>
      <c r="BN97" s="1">
        <f>IF(AND(ISERROR(Q97)=FALSE,ISERROR(R97)=FALSE,ISERROR(T97)=FALSE,ISERROR(U97)=FALSE),IF(OR(AND(Q97&gt;3,R97&gt;0),AND(T97&gt;3,U97&gt;0)),MAX(Q97,T97),0),0)</f>
        <v>0</v>
      </c>
      <c r="BO97" s="2895" t="str">
        <f t="shared" si="77"/>
        <v/>
      </c>
    </row>
    <row r="98" spans="2:67" ht="14.25" thickBot="1">
      <c r="B98" s="720"/>
      <c r="C98" s="678"/>
      <c r="D98" s="634">
        <v>5</v>
      </c>
      <c r="E98" s="628" t="s">
        <v>1017</v>
      </c>
      <c r="F98" s="670"/>
      <c r="G98" s="3321" t="s">
        <v>4097</v>
      </c>
      <c r="H98" s="3321" t="s">
        <v>4097</v>
      </c>
      <c r="I98" s="2473"/>
      <c r="J98" s="2474"/>
      <c r="K98" s="3614"/>
      <c r="L98" s="3615"/>
      <c r="M98" s="3615"/>
      <c r="N98" s="3615"/>
      <c r="O98" s="3616"/>
      <c r="P98" s="3215">
        <v>3</v>
      </c>
      <c r="Q98" s="644">
        <f t="shared" si="65"/>
        <v>3</v>
      </c>
      <c r="R98" s="721">
        <f t="shared" si="29"/>
        <v>0.2</v>
      </c>
      <c r="S98" s="3238"/>
      <c r="T98" s="3235">
        <f t="shared" si="66"/>
        <v>0</v>
      </c>
      <c r="U98" s="708">
        <f t="shared" si="58"/>
        <v>0</v>
      </c>
      <c r="V98" s="709"/>
      <c r="W98" s="554"/>
      <c r="X98" s="695">
        <f>IF(採点Q2!F327="対象外",0,採点Q2!F327)</f>
        <v>3</v>
      </c>
      <c r="Y98" s="719"/>
      <c r="Z98" s="2445"/>
      <c r="AA98" s="641">
        <f t="shared" si="78"/>
        <v>3</v>
      </c>
      <c r="AB98" s="622">
        <f>重み!D98</f>
        <v>0.2</v>
      </c>
      <c r="AC98" s="641">
        <f t="shared" si="79"/>
        <v>0</v>
      </c>
      <c r="AD98" s="622">
        <f>重み!E98</f>
        <v>0</v>
      </c>
      <c r="AE98" s="601"/>
      <c r="AF98" s="554"/>
      <c r="AG98" s="582">
        <f>重み!M98</f>
        <v>0.2</v>
      </c>
      <c r="AH98" s="568"/>
      <c r="AI98" s="582">
        <f>重み!N98</f>
        <v>0</v>
      </c>
      <c r="AJ98" s="2445"/>
      <c r="AK98" s="2445"/>
      <c r="AL98" s="2445"/>
      <c r="AM98" s="2445"/>
      <c r="AN98" s="2445"/>
      <c r="AO98" s="2445"/>
      <c r="AP98" s="2445"/>
      <c r="AQ98" s="2445"/>
      <c r="AR98" s="2445"/>
      <c r="AS98" s="2445"/>
      <c r="AT98" s="2445"/>
      <c r="AU98" s="2445"/>
      <c r="BM98" s="1" t="s">
        <v>3241</v>
      </c>
      <c r="BN98" s="1">
        <f>IF(AND(ISERROR(Q98)=FALSE,ISERROR(R98)=FALSE,ISERROR(T98)=FALSE,ISERROR(U98)=FALSE),IF(OR(AND(Q98&gt;3,R98&gt;0),AND(T98&gt;3,U98&gt;0)),MAX(Q98,T98),0),0)</f>
        <v>0</v>
      </c>
      <c r="BO98" s="2895" t="str">
        <f t="shared" si="77"/>
        <v/>
      </c>
    </row>
    <row r="99" spans="2:67" hidden="1">
      <c r="B99" s="625"/>
      <c r="C99" s="722"/>
      <c r="D99" s="723"/>
      <c r="E99" s="724"/>
      <c r="F99" s="616"/>
      <c r="G99" s="3324"/>
      <c r="H99" s="3324"/>
      <c r="I99" s="2459"/>
      <c r="J99" s="2460"/>
      <c r="K99" s="2842"/>
      <c r="L99" s="2843"/>
      <c r="M99" s="2843"/>
      <c r="N99" s="2843"/>
      <c r="O99" s="2844"/>
      <c r="P99" s="725"/>
      <c r="Q99" s="725">
        <f t="shared" si="65"/>
        <v>0</v>
      </c>
      <c r="R99" s="618">
        <f t="shared" si="29"/>
        <v>0</v>
      </c>
      <c r="S99" s="715"/>
      <c r="T99" s="725">
        <f t="shared" si="66"/>
        <v>0</v>
      </c>
      <c r="U99" s="619">
        <f t="shared" si="58"/>
        <v>0</v>
      </c>
      <c r="V99" s="620"/>
      <c r="W99" s="554"/>
      <c r="X99" s="716"/>
      <c r="Y99" s="3224"/>
      <c r="Z99" s="2445"/>
      <c r="AA99" s="675"/>
      <c r="AB99" s="622">
        <f>重み!D99</f>
        <v>0</v>
      </c>
      <c r="AC99" s="675"/>
      <c r="AD99" s="622">
        <f>重み!E99</f>
        <v>0</v>
      </c>
      <c r="AE99" s="601"/>
      <c r="AF99" s="554"/>
      <c r="AG99" s="582">
        <f>重み!M99</f>
        <v>0</v>
      </c>
      <c r="AH99" s="568"/>
      <c r="AI99" s="582">
        <f>重み!N99</f>
        <v>0</v>
      </c>
      <c r="AJ99" s="2445"/>
      <c r="AK99" s="2445"/>
      <c r="AL99" s="2445"/>
      <c r="AM99" s="2445"/>
      <c r="AN99" s="2445"/>
      <c r="AO99" s="2445"/>
      <c r="AP99" s="2445"/>
      <c r="AQ99" s="2445"/>
      <c r="AR99" s="2445"/>
      <c r="AS99" s="2445"/>
      <c r="AT99" s="2445"/>
      <c r="AU99" s="2404">
        <f t="shared" si="51"/>
        <v>0</v>
      </c>
      <c r="BM99" s="1"/>
      <c r="BN99" s="1"/>
      <c r="BO99" s="2895">
        <f t="shared" si="74"/>
        <v>0</v>
      </c>
    </row>
    <row r="100" spans="2:67">
      <c r="B100" s="712">
        <v>3</v>
      </c>
      <c r="C100" s="726" t="s">
        <v>1018</v>
      </c>
      <c r="D100" s="726"/>
      <c r="E100" s="726"/>
      <c r="F100" s="665"/>
      <c r="G100" s="3310"/>
      <c r="H100" s="3310"/>
      <c r="I100" s="2461"/>
      <c r="J100" s="2462"/>
      <c r="K100" s="2845"/>
      <c r="L100" s="2846"/>
      <c r="M100" s="2846"/>
      <c r="N100" s="2846"/>
      <c r="O100" s="2847"/>
      <c r="P100" s="727">
        <f t="shared" ref="P100:P101" si="80">ROUNDDOWN(AA100,1)</f>
        <v>3</v>
      </c>
      <c r="Q100" s="727">
        <f t="shared" si="65"/>
        <v>3</v>
      </c>
      <c r="R100" s="660">
        <f t="shared" si="29"/>
        <v>0.3</v>
      </c>
      <c r="S100" s="3239">
        <f t="shared" ref="S100:S101" si="81">ROUNDDOWN(AC100,1)</f>
        <v>3</v>
      </c>
      <c r="T100" s="727">
        <f t="shared" si="66"/>
        <v>3</v>
      </c>
      <c r="U100" s="661">
        <f t="shared" si="58"/>
        <v>1</v>
      </c>
      <c r="V100" s="662">
        <f>ROUNDDOWN(AE100,1)</f>
        <v>3</v>
      </c>
      <c r="W100" s="554"/>
      <c r="X100" s="728"/>
      <c r="Y100" s="3240"/>
      <c r="Z100" s="2445"/>
      <c r="AA100" s="3202">
        <f>AA101*AB101+AA104*AB104+AA105*AB105</f>
        <v>3</v>
      </c>
      <c r="AB100" s="622">
        <f>重み!D100</f>
        <v>0.3</v>
      </c>
      <c r="AC100" s="3202">
        <f>AC101*AD101+AC104*AD104+AC105*AD105</f>
        <v>3</v>
      </c>
      <c r="AD100" s="623">
        <f>SUM(AD101,AD104,AD105)</f>
        <v>1</v>
      </c>
      <c r="AE100" s="601">
        <f>IF(AC100=0,AA100,IF(AA100=0,AC100,AA100*AG$6+AC100*AI$6))</f>
        <v>3.0000000000000004</v>
      </c>
      <c r="AF100" s="554"/>
      <c r="AG100" s="582">
        <f>重み!M100</f>
        <v>0.3</v>
      </c>
      <c r="AH100" s="568"/>
      <c r="AI100" s="623">
        <f>SUM(AI101,AI104,AI105)</f>
        <v>1.5748031496062992E-2</v>
      </c>
      <c r="AJ100" s="2445"/>
      <c r="AK100" s="3211">
        <v>3</v>
      </c>
      <c r="AL100" s="3211"/>
      <c r="AM100" s="3211"/>
      <c r="AN100" s="3211"/>
      <c r="AO100" s="3211"/>
      <c r="AP100" s="3211">
        <v>3</v>
      </c>
      <c r="AQ100" s="3211"/>
      <c r="AR100" s="3211"/>
      <c r="AS100" s="3211"/>
      <c r="AT100" s="3211"/>
      <c r="AU100" s="2385">
        <f t="shared" si="51"/>
        <v>3</v>
      </c>
      <c r="AV100" s="799">
        <f>R100</f>
        <v>0.3</v>
      </c>
      <c r="AW100" s="662"/>
      <c r="AX100" s="2359"/>
      <c r="AY100" s="2384">
        <f>SUMPRODUCT($BB$7:$BK$7,AK100:AT100)/BA100</f>
        <v>3</v>
      </c>
      <c r="BA100" s="2383">
        <f>SUMPRODUCT($BB$7:$BK$7,BB100:BK100)</f>
        <v>0.98425196850393704</v>
      </c>
      <c r="BB100" s="2369">
        <f t="shared" ref="BB100:BK100" si="82">IF(AK100&gt;0,1,0)</f>
        <v>1</v>
      </c>
      <c r="BC100" s="2369">
        <f t="shared" si="82"/>
        <v>0</v>
      </c>
      <c r="BD100" s="2369">
        <f t="shared" si="82"/>
        <v>0</v>
      </c>
      <c r="BE100" s="2369">
        <f t="shared" si="82"/>
        <v>0</v>
      </c>
      <c r="BF100" s="2369">
        <f t="shared" si="82"/>
        <v>0</v>
      </c>
      <c r="BG100" s="2369">
        <f t="shared" si="82"/>
        <v>1</v>
      </c>
      <c r="BH100" s="2369">
        <f t="shared" si="82"/>
        <v>0</v>
      </c>
      <c r="BI100" s="2369">
        <f t="shared" si="82"/>
        <v>0</v>
      </c>
      <c r="BJ100" s="2369">
        <f t="shared" si="82"/>
        <v>0</v>
      </c>
      <c r="BK100" s="2369">
        <f t="shared" si="82"/>
        <v>0</v>
      </c>
      <c r="BM100" s="1"/>
      <c r="BN100" s="1"/>
      <c r="BO100" s="2895"/>
    </row>
    <row r="101" spans="2:67" ht="14.25" thickBot="1">
      <c r="B101" s="679"/>
      <c r="C101" s="626">
        <v>3.1</v>
      </c>
      <c r="D101" s="663" t="s">
        <v>1019</v>
      </c>
      <c r="E101" s="627"/>
      <c r="F101" s="665"/>
      <c r="G101" s="3303"/>
      <c r="H101" s="3303"/>
      <c r="I101" s="2459"/>
      <c r="J101" s="2460"/>
      <c r="K101" s="2842"/>
      <c r="L101" s="2843"/>
      <c r="M101" s="2843"/>
      <c r="N101" s="2843"/>
      <c r="O101" s="2844"/>
      <c r="P101" s="680">
        <f t="shared" si="80"/>
        <v>3</v>
      </c>
      <c r="Q101" s="680">
        <f t="shared" si="65"/>
        <v>3</v>
      </c>
      <c r="R101" s="618">
        <f t="shared" ref="R101:R147" si="83">AB101</f>
        <v>0.29527559055118108</v>
      </c>
      <c r="S101" s="681">
        <f t="shared" si="81"/>
        <v>3</v>
      </c>
      <c r="T101" s="807">
        <f t="shared" si="66"/>
        <v>3</v>
      </c>
      <c r="U101" s="619">
        <f t="shared" si="58"/>
        <v>0.5</v>
      </c>
      <c r="V101" s="620"/>
      <c r="W101" s="554"/>
      <c r="X101" s="713"/>
      <c r="Y101" s="3240"/>
      <c r="Z101" s="2445"/>
      <c r="AA101" s="621">
        <f>SUMPRODUCT(AA102:AA103,AB102:AB103)</f>
        <v>3</v>
      </c>
      <c r="AB101" s="622">
        <f>重み!D101</f>
        <v>0.29527559055118108</v>
      </c>
      <c r="AC101" s="621">
        <f>SUMPRODUCT(AC102:AC103,AD102:AD103)</f>
        <v>3</v>
      </c>
      <c r="AD101" s="622">
        <f>重み!E101</f>
        <v>0.5</v>
      </c>
      <c r="AE101" s="601"/>
      <c r="AF101" s="554"/>
      <c r="AG101" s="582">
        <f>重み!M101</f>
        <v>0.29527559055118108</v>
      </c>
      <c r="AH101" s="568"/>
      <c r="AI101" s="582">
        <f>重み!N101</f>
        <v>7.874015748031496E-3</v>
      </c>
      <c r="AJ101" s="2445"/>
      <c r="AK101" s="2445"/>
      <c r="AL101" s="2445"/>
      <c r="AM101" s="2445"/>
      <c r="AN101" s="2445"/>
      <c r="AO101" s="2445"/>
      <c r="AP101" s="2445"/>
      <c r="AQ101" s="2445"/>
      <c r="AR101" s="2445"/>
      <c r="AS101" s="2445"/>
      <c r="AT101" s="2445"/>
      <c r="AU101" s="2445"/>
      <c r="BM101" s="1"/>
      <c r="BN101" s="1"/>
      <c r="BO101" s="2895"/>
    </row>
    <row r="102" spans="2:67">
      <c r="B102" s="679"/>
      <c r="C102" s="669"/>
      <c r="D102" s="634">
        <v>1</v>
      </c>
      <c r="E102" s="628" t="s">
        <v>1020</v>
      </c>
      <c r="F102" s="670"/>
      <c r="G102" s="3325"/>
      <c r="H102" s="3325"/>
      <c r="I102" s="2459"/>
      <c r="J102" s="2460"/>
      <c r="K102" s="3614"/>
      <c r="L102" s="3615"/>
      <c r="M102" s="3615"/>
      <c r="N102" s="3615"/>
      <c r="O102" s="3616"/>
      <c r="P102" s="3197">
        <v>0</v>
      </c>
      <c r="Q102" s="637">
        <f t="shared" si="65"/>
        <v>3</v>
      </c>
      <c r="R102" s="638">
        <f t="shared" si="83"/>
        <v>0.6</v>
      </c>
      <c r="S102" s="3197"/>
      <c r="T102" s="637">
        <f t="shared" si="66"/>
        <v>3</v>
      </c>
      <c r="U102" s="638">
        <f t="shared" si="58"/>
        <v>0.6</v>
      </c>
      <c r="V102" s="620"/>
      <c r="W102" s="554"/>
      <c r="X102" s="719">
        <f>IF(採点Q2!F348="対象外",0,採点Q2!F348)</f>
        <v>3</v>
      </c>
      <c r="Y102" s="640">
        <f>採点Q2!K348</f>
        <v>3</v>
      </c>
      <c r="Z102" s="2445"/>
      <c r="AA102" s="641">
        <f t="shared" ref="AA102:AA103" si="84">IF($AA$3=4,P102,X102)</f>
        <v>3</v>
      </c>
      <c r="AB102" s="622">
        <f>重み!D102</f>
        <v>0.6</v>
      </c>
      <c r="AC102" s="641">
        <f t="shared" ref="AC102:AC104" si="85">IF($AA$3=4,S102,Y102)</f>
        <v>3</v>
      </c>
      <c r="AD102" s="622">
        <f>重み!E102</f>
        <v>0.6</v>
      </c>
      <c r="AE102" s="601"/>
      <c r="AF102" s="554"/>
      <c r="AG102" s="582">
        <f>重み!M102</f>
        <v>0.59055118110236215</v>
      </c>
      <c r="AH102" s="568"/>
      <c r="AI102" s="582">
        <f>重み!N102</f>
        <v>9.4488188976377951E-3</v>
      </c>
      <c r="AJ102" s="2445"/>
      <c r="AK102" s="2445"/>
      <c r="AL102" s="2445"/>
      <c r="AM102" s="2445"/>
      <c r="AN102" s="2445"/>
      <c r="AO102" s="2445"/>
      <c r="AP102" s="2445"/>
      <c r="AQ102" s="2445"/>
      <c r="AR102" s="2445"/>
      <c r="AS102" s="2445"/>
      <c r="AT102" s="2445"/>
      <c r="AU102" s="2445"/>
      <c r="BM102" s="1" t="s">
        <v>3242</v>
      </c>
      <c r="BN102" s="1">
        <f>IF(AND(ISERROR(Q102)=FALSE,ISERROR(R102)=FALSE,ISERROR(T102)=FALSE,ISERROR(U102)=FALSE),IF(OR(AND(Q102&gt;3,R102&gt;0),AND(T102&gt;3,U102&gt;0)),MAX(Q102,T102),0),0)</f>
        <v>0</v>
      </c>
      <c r="BO102" s="2895" t="str">
        <f t="shared" ref="BO102:BO104" si="86">IF(K102=0,"",K102)</f>
        <v/>
      </c>
    </row>
    <row r="103" spans="2:67">
      <c r="B103" s="679"/>
      <c r="C103" s="669"/>
      <c r="D103" s="729">
        <v>2</v>
      </c>
      <c r="E103" s="627" t="s">
        <v>1021</v>
      </c>
      <c r="F103" s="665"/>
      <c r="G103" s="3325"/>
      <c r="H103" s="3325"/>
      <c r="I103" s="2465" t="s">
        <v>2521</v>
      </c>
      <c r="J103" s="2466" t="s">
        <v>2518</v>
      </c>
      <c r="K103" s="3614"/>
      <c r="L103" s="3615"/>
      <c r="M103" s="3615"/>
      <c r="N103" s="3615"/>
      <c r="O103" s="3616"/>
      <c r="P103" s="3198">
        <v>3</v>
      </c>
      <c r="Q103" s="651">
        <f t="shared" si="65"/>
        <v>3</v>
      </c>
      <c r="R103" s="638">
        <f t="shared" si="83"/>
        <v>0.4</v>
      </c>
      <c r="S103" s="3198"/>
      <c r="T103" s="651">
        <f t="shared" si="66"/>
        <v>3</v>
      </c>
      <c r="U103" s="638">
        <f t="shared" si="58"/>
        <v>0.4</v>
      </c>
      <c r="V103" s="620"/>
      <c r="W103" s="554"/>
      <c r="X103" s="719">
        <f>IF(採点Q2!F357="対象外",0,採点Q2!F357)</f>
        <v>3</v>
      </c>
      <c r="Y103" s="653">
        <f>採点Q2!K357</f>
        <v>3</v>
      </c>
      <c r="Z103" s="2445"/>
      <c r="AA103" s="641">
        <f t="shared" si="84"/>
        <v>3</v>
      </c>
      <c r="AB103" s="622">
        <f>重み!D103</f>
        <v>0.4</v>
      </c>
      <c r="AC103" s="641">
        <f t="shared" si="85"/>
        <v>3</v>
      </c>
      <c r="AD103" s="622">
        <f>重み!E103</f>
        <v>0.4</v>
      </c>
      <c r="AE103" s="601"/>
      <c r="AF103" s="554"/>
      <c r="AG103" s="582">
        <f>重み!M103</f>
        <v>0.39370078740157483</v>
      </c>
      <c r="AH103" s="568"/>
      <c r="AI103" s="582">
        <f>重み!N103</f>
        <v>6.2992125984251968E-3</v>
      </c>
      <c r="AJ103" s="2445"/>
      <c r="AK103" s="2445"/>
      <c r="AL103" s="2445"/>
      <c r="AM103" s="2445"/>
      <c r="AN103" s="2445"/>
      <c r="AO103" s="2445"/>
      <c r="AP103" s="2445"/>
      <c r="AQ103" s="2445"/>
      <c r="AR103" s="2445"/>
      <c r="AS103" s="2445"/>
      <c r="AT103" s="2445"/>
      <c r="AU103" s="2445"/>
      <c r="BM103" s="1" t="s">
        <v>3243</v>
      </c>
      <c r="BN103" s="1">
        <f>IF(AND(ISERROR(Q103)=FALSE,ISERROR(R103)=FALSE,ISERROR(T103)=FALSE,ISERROR(U103)=FALSE),IF(OR(AND(Q103&gt;3,R103&gt;0),AND(T103&gt;3,U103&gt;0)),MAX(Q103,T103),0),0)</f>
        <v>0</v>
      </c>
      <c r="BO103" s="2895" t="str">
        <f t="shared" si="86"/>
        <v/>
      </c>
    </row>
    <row r="104" spans="2:67" ht="14.25" thickBot="1">
      <c r="B104" s="679"/>
      <c r="C104" s="655">
        <v>3.2</v>
      </c>
      <c r="D104" s="730" t="s">
        <v>1022</v>
      </c>
      <c r="E104" s="628"/>
      <c r="F104" s="670"/>
      <c r="G104" s="3325"/>
      <c r="H104" s="3325"/>
      <c r="I104" s="2459"/>
      <c r="J104" s="2460"/>
      <c r="K104" s="3614"/>
      <c r="L104" s="3615"/>
      <c r="M104" s="3615"/>
      <c r="N104" s="3615"/>
      <c r="O104" s="3616"/>
      <c r="P104" s="3199">
        <v>3</v>
      </c>
      <c r="Q104" s="656">
        <f t="shared" si="65"/>
        <v>3</v>
      </c>
      <c r="R104" s="638">
        <f t="shared" si="83"/>
        <v>0.29527559055118108</v>
      </c>
      <c r="S104" s="3199"/>
      <c r="T104" s="656">
        <f t="shared" si="66"/>
        <v>3</v>
      </c>
      <c r="U104" s="638">
        <f t="shared" si="58"/>
        <v>0.5</v>
      </c>
      <c r="V104" s="620"/>
      <c r="W104" s="554"/>
      <c r="X104" s="719">
        <f>IF(採点Q2!F368="対象外",0,採点Q2!F368)</f>
        <v>3</v>
      </c>
      <c r="Y104" s="646">
        <f>採点Q2!M368</f>
        <v>3</v>
      </c>
      <c r="Z104" s="2445"/>
      <c r="AA104" s="3200">
        <f>IF($AA$3=4,P104,X104)</f>
        <v>3</v>
      </c>
      <c r="AB104" s="622">
        <f>重み!D104</f>
        <v>0.29527559055118108</v>
      </c>
      <c r="AC104" s="3200">
        <f t="shared" si="85"/>
        <v>3</v>
      </c>
      <c r="AD104" s="622">
        <f>重み!E104</f>
        <v>0.5</v>
      </c>
      <c r="AE104" s="601"/>
      <c r="AF104" s="554"/>
      <c r="AG104" s="582">
        <f>重み!M104</f>
        <v>0.29527559055118108</v>
      </c>
      <c r="AH104" s="568"/>
      <c r="AI104" s="582">
        <f>重み!N104</f>
        <v>7.874015748031496E-3</v>
      </c>
      <c r="AJ104" s="2445"/>
      <c r="AK104" s="2445"/>
      <c r="AL104" s="2445"/>
      <c r="AM104" s="2445"/>
      <c r="AN104" s="2445"/>
      <c r="AO104" s="2445"/>
      <c r="AP104" s="2445"/>
      <c r="AQ104" s="2445"/>
      <c r="AR104" s="2445"/>
      <c r="AS104" s="2445"/>
      <c r="AT104" s="2445"/>
      <c r="AU104" s="2445"/>
      <c r="BM104" s="1" t="s">
        <v>3244</v>
      </c>
      <c r="BN104" s="1">
        <f>IF(AND(ISERROR(Q104)=FALSE,ISERROR(R104)=FALSE,ISERROR(T104)=FALSE,ISERROR(U104)=FALSE),IF(OR(AND(Q104&gt;3,R104&gt;0),AND(T104&gt;3,U104&gt;0)),MAX(Q104,T104),0),0)</f>
        <v>0</v>
      </c>
      <c r="BO104" s="2895" t="str">
        <f t="shared" si="86"/>
        <v/>
      </c>
    </row>
    <row r="105" spans="2:67" ht="14.25" thickBot="1">
      <c r="B105" s="679"/>
      <c r="C105" s="647">
        <v>3.3</v>
      </c>
      <c r="D105" s="663" t="s">
        <v>1023</v>
      </c>
      <c r="E105" s="627"/>
      <c r="F105" s="665"/>
      <c r="G105" s="3313"/>
      <c r="H105" s="3313"/>
      <c r="I105" s="2459"/>
      <c r="J105" s="2460"/>
      <c r="K105" s="2842"/>
      <c r="L105" s="2843"/>
      <c r="M105" s="2843"/>
      <c r="N105" s="2843"/>
      <c r="O105" s="2844"/>
      <c r="P105" s="680">
        <f>ROUNDDOWN(AA105,1)</f>
        <v>3</v>
      </c>
      <c r="Q105" s="680">
        <f t="shared" si="65"/>
        <v>3</v>
      </c>
      <c r="R105" s="618">
        <f>AB105</f>
        <v>0.40944881889763785</v>
      </c>
      <c r="S105" s="681">
        <f>ROUNDDOWN(AC105,1)</f>
        <v>0</v>
      </c>
      <c r="T105" s="3241">
        <f t="shared" si="66"/>
        <v>0</v>
      </c>
      <c r="U105" s="619">
        <f t="shared" si="58"/>
        <v>0</v>
      </c>
      <c r="V105" s="620"/>
      <c r="W105" s="554"/>
      <c r="X105" s="716"/>
      <c r="Y105" s="3240"/>
      <c r="Z105" s="2445"/>
      <c r="AA105" s="621">
        <f>SUMPRODUCT(AA106:AA111,AB106:AB111)</f>
        <v>3.0000000000000004</v>
      </c>
      <c r="AB105" s="622">
        <f>重み!D105</f>
        <v>0.40944881889763785</v>
      </c>
      <c r="AC105" s="621">
        <f>SUMPRODUCT(AC106:AC111,AD106:AD111)</f>
        <v>0</v>
      </c>
      <c r="AD105" s="622">
        <f>重み!E105</f>
        <v>0</v>
      </c>
      <c r="AE105" s="601"/>
      <c r="AF105" s="554"/>
      <c r="AG105" s="582">
        <f>重み!M105</f>
        <v>0.40944881889763785</v>
      </c>
      <c r="AH105" s="568"/>
      <c r="AI105" s="582">
        <f>重み!N105</f>
        <v>0</v>
      </c>
      <c r="AJ105" s="2445"/>
      <c r="AK105" s="2445"/>
      <c r="AL105" s="2445"/>
      <c r="AM105" s="2445"/>
      <c r="AN105" s="2445"/>
      <c r="AO105" s="2445"/>
      <c r="AP105" s="2445"/>
      <c r="AQ105" s="2445"/>
      <c r="AR105" s="2445"/>
      <c r="AS105" s="2445"/>
      <c r="AT105" s="2445"/>
      <c r="AU105" s="2445"/>
      <c r="BM105" s="1"/>
      <c r="BN105" s="1"/>
      <c r="BO105" s="2895"/>
    </row>
    <row r="106" spans="2:67" ht="14.25" thickBot="1">
      <c r="B106" s="679"/>
      <c r="C106" s="669"/>
      <c r="D106" s="634">
        <v>1</v>
      </c>
      <c r="E106" s="628" t="s">
        <v>1577</v>
      </c>
      <c r="F106" s="670"/>
      <c r="G106" s="3325"/>
      <c r="H106" s="3325"/>
      <c r="I106" s="2477" t="s">
        <v>2521</v>
      </c>
      <c r="J106" s="2478" t="s">
        <v>2518</v>
      </c>
      <c r="K106" s="3614"/>
      <c r="L106" s="3615"/>
      <c r="M106" s="3615"/>
      <c r="N106" s="3615"/>
      <c r="O106" s="3616"/>
      <c r="P106" s="3197">
        <v>0</v>
      </c>
      <c r="Q106" s="637">
        <f t="shared" si="65"/>
        <v>3</v>
      </c>
      <c r="R106" s="714">
        <f t="shared" si="83"/>
        <v>0.2</v>
      </c>
      <c r="S106" s="3232"/>
      <c r="T106" s="3233">
        <f t="shared" si="66"/>
        <v>0</v>
      </c>
      <c r="U106" s="619">
        <f t="shared" si="58"/>
        <v>0</v>
      </c>
      <c r="V106" s="620"/>
      <c r="W106" s="554"/>
      <c r="X106" s="689">
        <f>IF(採点Q2!F378="対象外",0,採点Q2!F378)</f>
        <v>3</v>
      </c>
      <c r="Y106" s="3240"/>
      <c r="Z106" s="2445"/>
      <c r="AA106" s="641">
        <f>IF($AA$3=4,P106,X106)</f>
        <v>3</v>
      </c>
      <c r="AB106" s="622">
        <f>重み!D106</f>
        <v>0.2</v>
      </c>
      <c r="AC106" s="641">
        <f>IF($AA$3=4,S106,Y106)</f>
        <v>0</v>
      </c>
      <c r="AD106" s="622">
        <f>重み!E106</f>
        <v>0</v>
      </c>
      <c r="AE106" s="601"/>
      <c r="AF106" s="554"/>
      <c r="AG106" s="582">
        <f>重み!M106</f>
        <v>0.2</v>
      </c>
      <c r="AH106" s="568"/>
      <c r="AI106" s="582">
        <f>重み!N106</f>
        <v>0</v>
      </c>
      <c r="AJ106" s="2445"/>
      <c r="AK106" s="2445"/>
      <c r="AL106" s="2445"/>
      <c r="AM106" s="2445"/>
      <c r="AN106" s="2445"/>
      <c r="AO106" s="2445"/>
      <c r="AP106" s="2445"/>
      <c r="AQ106" s="2445"/>
      <c r="AR106" s="2445"/>
      <c r="AS106" s="2445"/>
      <c r="AT106" s="2445"/>
      <c r="AU106" s="2445"/>
      <c r="BM106" s="1" t="s">
        <v>3245</v>
      </c>
      <c r="BN106" s="1">
        <f t="shared" ref="BN106:BN111" si="87">IF(AND(ISERROR(Q106)=FALSE,ISERROR(R106)=FALSE,ISERROR(T106)=FALSE,ISERROR(U106)=FALSE),IF(OR(AND(Q106&gt;3,R106&gt;0),AND(T106&gt;3,U106&gt;0)),MAX(Q106,T106),0),0)</f>
        <v>0</v>
      </c>
      <c r="BO106" s="2895" t="str">
        <f t="shared" ref="BO106:BO111" si="88">IF(K106=0,"",K106)</f>
        <v/>
      </c>
    </row>
    <row r="107" spans="2:67" ht="14.25" thickBot="1">
      <c r="B107" s="679"/>
      <c r="C107" s="669"/>
      <c r="D107" s="729">
        <v>2</v>
      </c>
      <c r="E107" s="627" t="s">
        <v>1024</v>
      </c>
      <c r="F107" s="665"/>
      <c r="G107" s="3325"/>
      <c r="H107" s="3325"/>
      <c r="I107" s="2477" t="s">
        <v>2521</v>
      </c>
      <c r="J107" s="2479" t="s">
        <v>2518</v>
      </c>
      <c r="K107" s="3614"/>
      <c r="L107" s="3615"/>
      <c r="M107" s="3615"/>
      <c r="N107" s="3615"/>
      <c r="O107" s="3616"/>
      <c r="P107" s="3198">
        <v>3</v>
      </c>
      <c r="Q107" s="651">
        <f t="shared" si="65"/>
        <v>3</v>
      </c>
      <c r="R107" s="714">
        <f t="shared" si="83"/>
        <v>0.2</v>
      </c>
      <c r="S107" s="3232"/>
      <c r="T107" s="3233">
        <f t="shared" si="66"/>
        <v>0</v>
      </c>
      <c r="U107" s="619">
        <f t="shared" si="58"/>
        <v>0</v>
      </c>
      <c r="V107" s="620"/>
      <c r="W107" s="554"/>
      <c r="X107" s="711">
        <f>IF(採点Q2!K378="対象外",0,採点Q2!K378)</f>
        <v>3</v>
      </c>
      <c r="Y107" s="3240"/>
      <c r="Z107" s="2445"/>
      <c r="AA107" s="641">
        <f t="shared" ref="AA107:AA111" si="89">IF($AA$3=4,P107,X107)</f>
        <v>3</v>
      </c>
      <c r="AB107" s="622">
        <f>重み!D107</f>
        <v>0.2</v>
      </c>
      <c r="AC107" s="641">
        <f t="shared" ref="AC107:AC111" si="90">IF($AA$3=4,S107,Y107)</f>
        <v>0</v>
      </c>
      <c r="AD107" s="622">
        <f>重み!E107</f>
        <v>0</v>
      </c>
      <c r="AE107" s="601"/>
      <c r="AF107" s="554"/>
      <c r="AG107" s="582">
        <f>重み!M107</f>
        <v>0.2</v>
      </c>
      <c r="AH107" s="568"/>
      <c r="AI107" s="582">
        <f>重み!N107</f>
        <v>0</v>
      </c>
      <c r="AJ107" s="2445"/>
      <c r="AK107" s="2445"/>
      <c r="AL107" s="2445"/>
      <c r="AM107" s="2445"/>
      <c r="AN107" s="2445"/>
      <c r="AO107" s="2445"/>
      <c r="AP107" s="2445"/>
      <c r="AQ107" s="2445"/>
      <c r="AR107" s="2445"/>
      <c r="AS107" s="2445"/>
      <c r="AT107" s="2445"/>
      <c r="AU107" s="2445"/>
      <c r="BM107" s="1" t="s">
        <v>3246</v>
      </c>
      <c r="BN107" s="1">
        <f t="shared" si="87"/>
        <v>0</v>
      </c>
      <c r="BO107" s="2895" t="str">
        <f t="shared" si="88"/>
        <v/>
      </c>
    </row>
    <row r="108" spans="2:67" ht="14.25" thickBot="1">
      <c r="B108" s="679"/>
      <c r="C108" s="669"/>
      <c r="D108" s="634">
        <v>3</v>
      </c>
      <c r="E108" s="628" t="s">
        <v>1025</v>
      </c>
      <c r="F108" s="670"/>
      <c r="G108" s="3325"/>
      <c r="H108" s="3325"/>
      <c r="I108" s="2477" t="s">
        <v>2521</v>
      </c>
      <c r="J108" s="2479" t="s">
        <v>2518</v>
      </c>
      <c r="K108" s="3614"/>
      <c r="L108" s="3615"/>
      <c r="M108" s="3615"/>
      <c r="N108" s="3615"/>
      <c r="O108" s="3616"/>
      <c r="P108" s="3198">
        <v>3</v>
      </c>
      <c r="Q108" s="651">
        <f t="shared" si="65"/>
        <v>3</v>
      </c>
      <c r="R108" s="714">
        <f t="shared" si="83"/>
        <v>0.1</v>
      </c>
      <c r="S108" s="3232"/>
      <c r="T108" s="3233">
        <f t="shared" si="66"/>
        <v>0</v>
      </c>
      <c r="U108" s="619">
        <f t="shared" si="58"/>
        <v>0</v>
      </c>
      <c r="V108" s="620"/>
      <c r="W108" s="554"/>
      <c r="X108" s="711">
        <f>IF(採点Q2!F387="対象外",0,採点Q2!F387)</f>
        <v>3</v>
      </c>
      <c r="Y108" s="3240"/>
      <c r="Z108" s="2445"/>
      <c r="AA108" s="641">
        <f t="shared" si="89"/>
        <v>3</v>
      </c>
      <c r="AB108" s="622">
        <f>重み!D108</f>
        <v>0.1</v>
      </c>
      <c r="AC108" s="641">
        <f t="shared" si="90"/>
        <v>0</v>
      </c>
      <c r="AD108" s="622">
        <f>重み!E108</f>
        <v>0</v>
      </c>
      <c r="AE108" s="601"/>
      <c r="AF108" s="554"/>
      <c r="AG108" s="582">
        <f>重み!M108</f>
        <v>0.1</v>
      </c>
      <c r="AH108" s="568"/>
      <c r="AI108" s="582">
        <f>重み!N108</f>
        <v>0</v>
      </c>
      <c r="AJ108" s="2445"/>
      <c r="AK108" s="2445"/>
      <c r="AL108" s="2445"/>
      <c r="AM108" s="2445"/>
      <c r="AN108" s="2445"/>
      <c r="AO108" s="2445"/>
      <c r="AP108" s="2445"/>
      <c r="AQ108" s="2445"/>
      <c r="AR108" s="2445"/>
      <c r="AS108" s="2445"/>
      <c r="AT108" s="2445"/>
      <c r="AU108" s="2445"/>
      <c r="BM108" s="1" t="s">
        <v>3247</v>
      </c>
      <c r="BN108" s="1">
        <f t="shared" si="87"/>
        <v>0</v>
      </c>
      <c r="BO108" s="2895" t="str">
        <f t="shared" si="88"/>
        <v/>
      </c>
    </row>
    <row r="109" spans="2:67" ht="14.25" thickBot="1">
      <c r="B109" s="679"/>
      <c r="C109" s="669"/>
      <c r="D109" s="729">
        <v>4</v>
      </c>
      <c r="E109" s="627" t="s">
        <v>1026</v>
      </c>
      <c r="F109" s="665"/>
      <c r="G109" s="3325"/>
      <c r="H109" s="3325"/>
      <c r="I109" s="2477" t="s">
        <v>2521</v>
      </c>
      <c r="J109" s="2479" t="s">
        <v>2518</v>
      </c>
      <c r="K109" s="3614"/>
      <c r="L109" s="3615"/>
      <c r="M109" s="3615"/>
      <c r="N109" s="3615"/>
      <c r="O109" s="3616"/>
      <c r="P109" s="3198">
        <v>3</v>
      </c>
      <c r="Q109" s="651">
        <f t="shared" si="65"/>
        <v>3</v>
      </c>
      <c r="R109" s="714">
        <f t="shared" si="83"/>
        <v>0.1</v>
      </c>
      <c r="S109" s="3232"/>
      <c r="T109" s="3233">
        <f t="shared" si="66"/>
        <v>0</v>
      </c>
      <c r="U109" s="619">
        <f t="shared" si="58"/>
        <v>0</v>
      </c>
      <c r="V109" s="620"/>
      <c r="W109" s="554"/>
      <c r="X109" s="711">
        <f>IF(採点Q2!K387="対象外",0,採点Q2!K387)</f>
        <v>3</v>
      </c>
      <c r="Y109" s="3240"/>
      <c r="Z109" s="2445"/>
      <c r="AA109" s="641">
        <f t="shared" si="89"/>
        <v>3</v>
      </c>
      <c r="AB109" s="622">
        <f>重み!D109</f>
        <v>0.1</v>
      </c>
      <c r="AC109" s="641">
        <f t="shared" si="90"/>
        <v>0</v>
      </c>
      <c r="AD109" s="622">
        <f>重み!E109</f>
        <v>0</v>
      </c>
      <c r="AE109" s="601"/>
      <c r="AF109" s="554"/>
      <c r="AG109" s="582">
        <f>重み!M109</f>
        <v>0.1</v>
      </c>
      <c r="AH109" s="568"/>
      <c r="AI109" s="582">
        <f>重み!N109</f>
        <v>0</v>
      </c>
      <c r="AJ109" s="2445"/>
      <c r="AK109" s="2445"/>
      <c r="AL109" s="2445"/>
      <c r="AM109" s="2445"/>
      <c r="AN109" s="2445"/>
      <c r="AO109" s="2445"/>
      <c r="AP109" s="2445"/>
      <c r="AQ109" s="2445"/>
      <c r="AR109" s="2445"/>
      <c r="AS109" s="2445"/>
      <c r="AT109" s="2445"/>
      <c r="AU109" s="2445"/>
      <c r="BM109" s="1" t="s">
        <v>3248</v>
      </c>
      <c r="BN109" s="1">
        <f t="shared" si="87"/>
        <v>0</v>
      </c>
      <c r="BO109" s="2895" t="str">
        <f t="shared" si="88"/>
        <v/>
      </c>
    </row>
    <row r="110" spans="2:67" ht="14.25" thickBot="1">
      <c r="B110" s="679"/>
      <c r="C110" s="669"/>
      <c r="D110" s="634">
        <v>5</v>
      </c>
      <c r="E110" s="628" t="s">
        <v>1027</v>
      </c>
      <c r="F110" s="670"/>
      <c r="G110" s="3325"/>
      <c r="H110" s="3325"/>
      <c r="I110" s="2477" t="s">
        <v>2521</v>
      </c>
      <c r="J110" s="2479" t="s">
        <v>2518</v>
      </c>
      <c r="K110" s="3614"/>
      <c r="L110" s="3615"/>
      <c r="M110" s="3615"/>
      <c r="N110" s="3615"/>
      <c r="O110" s="3616"/>
      <c r="P110" s="3198">
        <v>3</v>
      </c>
      <c r="Q110" s="651">
        <f t="shared" si="65"/>
        <v>3</v>
      </c>
      <c r="R110" s="714">
        <f t="shared" si="83"/>
        <v>0.2</v>
      </c>
      <c r="S110" s="3232"/>
      <c r="T110" s="3233">
        <f t="shared" si="66"/>
        <v>0</v>
      </c>
      <c r="U110" s="619">
        <f t="shared" si="58"/>
        <v>0</v>
      </c>
      <c r="V110" s="620"/>
      <c r="W110" s="554"/>
      <c r="X110" s="711">
        <f>IF(採点Q2!F396="対象外",0,採点Q2!F396)</f>
        <v>3</v>
      </c>
      <c r="Y110" s="3240"/>
      <c r="Z110" s="2445"/>
      <c r="AA110" s="641">
        <f t="shared" si="89"/>
        <v>3</v>
      </c>
      <c r="AB110" s="622">
        <f>重み!D110</f>
        <v>0.2</v>
      </c>
      <c r="AC110" s="641">
        <f t="shared" si="90"/>
        <v>0</v>
      </c>
      <c r="AD110" s="622">
        <f>重み!E110</f>
        <v>0</v>
      </c>
      <c r="AE110" s="601"/>
      <c r="AF110" s="554"/>
      <c r="AG110" s="582">
        <f>重み!M110</f>
        <v>0.2</v>
      </c>
      <c r="AH110" s="568"/>
      <c r="AI110" s="582">
        <f>重み!N110</f>
        <v>0</v>
      </c>
      <c r="AJ110" s="2445"/>
      <c r="AK110" s="2445"/>
      <c r="AL110" s="2445"/>
      <c r="AM110" s="2445"/>
      <c r="AN110" s="2445"/>
      <c r="AO110" s="2445"/>
      <c r="AP110" s="2445"/>
      <c r="AQ110" s="2445"/>
      <c r="AR110" s="2445"/>
      <c r="AS110" s="2445"/>
      <c r="AT110" s="2445"/>
      <c r="AU110" s="2445"/>
      <c r="BM110" s="1" t="s">
        <v>3249</v>
      </c>
      <c r="BN110" s="1">
        <f t="shared" si="87"/>
        <v>0</v>
      </c>
      <c r="BO110" s="2895" t="str">
        <f t="shared" si="88"/>
        <v/>
      </c>
    </row>
    <row r="111" spans="2:67" ht="14.25" thickBot="1">
      <c r="B111" s="690"/>
      <c r="C111" s="731"/>
      <c r="D111" s="732">
        <v>6</v>
      </c>
      <c r="E111" s="692" t="s">
        <v>1028</v>
      </c>
      <c r="F111" s="693"/>
      <c r="G111" s="3325"/>
      <c r="H111" s="3325"/>
      <c r="I111" s="2480"/>
      <c r="J111" s="2481"/>
      <c r="K111" s="3614"/>
      <c r="L111" s="3615"/>
      <c r="M111" s="3615"/>
      <c r="N111" s="3615"/>
      <c r="O111" s="3616"/>
      <c r="P111" s="3215">
        <v>3</v>
      </c>
      <c r="Q111" s="644">
        <f t="shared" si="65"/>
        <v>3</v>
      </c>
      <c r="R111" s="733">
        <f t="shared" si="83"/>
        <v>0.2</v>
      </c>
      <c r="S111" s="3242"/>
      <c r="T111" s="3243">
        <f t="shared" si="66"/>
        <v>0</v>
      </c>
      <c r="U111" s="734">
        <f t="shared" si="58"/>
        <v>0</v>
      </c>
      <c r="V111" s="694"/>
      <c r="W111" s="554"/>
      <c r="X111" s="695">
        <f>IF(採点Q2!K396="対象外",0,採点Q2!K396)</f>
        <v>3</v>
      </c>
      <c r="Y111" s="3240"/>
      <c r="Z111" s="2445"/>
      <c r="AA111" s="641">
        <f t="shared" si="89"/>
        <v>3</v>
      </c>
      <c r="AB111" s="622">
        <f>重み!D111</f>
        <v>0.2</v>
      </c>
      <c r="AC111" s="641">
        <f t="shared" si="90"/>
        <v>0</v>
      </c>
      <c r="AD111" s="622">
        <f>重み!E111</f>
        <v>0</v>
      </c>
      <c r="AE111" s="601"/>
      <c r="AF111" s="554"/>
      <c r="AG111" s="582">
        <f>重み!M111</f>
        <v>0.2</v>
      </c>
      <c r="AH111" s="568"/>
      <c r="AI111" s="582">
        <f>重み!N111</f>
        <v>0</v>
      </c>
      <c r="AJ111" s="2445"/>
      <c r="AK111" s="2445"/>
      <c r="AL111" s="2445"/>
      <c r="AM111" s="2445"/>
      <c r="AN111" s="2445"/>
      <c r="AO111" s="2445"/>
      <c r="AP111" s="2445"/>
      <c r="AQ111" s="2445"/>
      <c r="AR111" s="2445"/>
      <c r="AS111" s="2445"/>
      <c r="AT111" s="2445"/>
      <c r="AU111" s="2445"/>
      <c r="BM111" s="1" t="s">
        <v>3250</v>
      </c>
      <c r="BN111" s="1">
        <f t="shared" si="87"/>
        <v>0</v>
      </c>
      <c r="BO111" s="2895" t="str">
        <f t="shared" si="88"/>
        <v/>
      </c>
    </row>
    <row r="112" spans="2:67" ht="15.75" thickBot="1">
      <c r="B112" s="696" t="s">
        <v>1578</v>
      </c>
      <c r="C112" s="735" t="s">
        <v>1579</v>
      </c>
      <c r="D112" s="735"/>
      <c r="E112" s="735"/>
      <c r="F112" s="736"/>
      <c r="G112" s="3315"/>
      <c r="H112" s="3315"/>
      <c r="I112" s="2482"/>
      <c r="J112" s="2483"/>
      <c r="K112" s="2851"/>
      <c r="L112" s="2852"/>
      <c r="M112" s="2852"/>
      <c r="N112" s="2852"/>
      <c r="O112" s="2853"/>
      <c r="P112" s="737"/>
      <c r="Q112" s="737">
        <f t="shared" si="65"/>
        <v>0</v>
      </c>
      <c r="R112" s="701">
        <f t="shared" si="83"/>
        <v>0.3</v>
      </c>
      <c r="S112" s="702"/>
      <c r="T112" s="3219">
        <f t="shared" si="66"/>
        <v>0</v>
      </c>
      <c r="U112" s="703">
        <f t="shared" si="58"/>
        <v>0</v>
      </c>
      <c r="V112" s="704">
        <f>ROUNDDOWN(AE112,1)</f>
        <v>3</v>
      </c>
      <c r="W112" s="554"/>
      <c r="X112" s="3201"/>
      <c r="Y112" s="3240"/>
      <c r="Z112" s="2445"/>
      <c r="AA112" s="675"/>
      <c r="AB112" s="610">
        <f>重み!D112</f>
        <v>0.3</v>
      </c>
      <c r="AC112" s="675"/>
      <c r="AD112" s="610"/>
      <c r="AE112" s="3220">
        <f>AE113*AB113+AB114*AE114+AE116*AB116+AE117*AB117</f>
        <v>3</v>
      </c>
      <c r="AF112" s="554"/>
      <c r="AG112" s="582">
        <f>重み!M112</f>
        <v>0.3</v>
      </c>
      <c r="AH112" s="568"/>
      <c r="AI112" s="582">
        <f>重み!N112</f>
        <v>0</v>
      </c>
      <c r="AJ112" s="2445"/>
      <c r="AK112" s="3244"/>
      <c r="AL112" s="3221"/>
      <c r="AM112" s="3221"/>
      <c r="AN112" s="3221"/>
      <c r="AO112" s="3221"/>
      <c r="AP112" s="3221"/>
      <c r="AQ112" s="3221"/>
      <c r="AR112" s="3221"/>
      <c r="AS112" s="3221"/>
      <c r="AT112" s="3222"/>
      <c r="AU112" s="2391"/>
      <c r="AV112" s="2392">
        <f>R112</f>
        <v>0.3</v>
      </c>
      <c r="AW112" s="704">
        <f t="shared" ref="AW112" si="91">ROUNDDOWN(AY112,1)</f>
        <v>3</v>
      </c>
      <c r="AY112" s="2384">
        <f>SUMPRODUCT(AV113:AV119,AY113:AY119)</f>
        <v>3</v>
      </c>
      <c r="BM112" s="1"/>
      <c r="BN112" s="1"/>
      <c r="BO112" s="2895"/>
    </row>
    <row r="113" spans="2:67">
      <c r="B113" s="612">
        <v>1</v>
      </c>
      <c r="C113" s="706" t="s">
        <v>1029</v>
      </c>
      <c r="D113" s="648"/>
      <c r="E113" s="648"/>
      <c r="F113" s="616"/>
      <c r="G113" s="3326" t="s">
        <v>4098</v>
      </c>
      <c r="H113" s="3327" t="s">
        <v>4098</v>
      </c>
      <c r="I113" s="2484" t="s">
        <v>2529</v>
      </c>
      <c r="J113" s="2485" t="s">
        <v>2524</v>
      </c>
      <c r="K113" s="3653"/>
      <c r="L113" s="3654"/>
      <c r="M113" s="3654"/>
      <c r="N113" s="3654"/>
      <c r="O113" s="3655"/>
      <c r="P113" s="3194">
        <v>0</v>
      </c>
      <c r="Q113" s="738">
        <f t="shared" si="65"/>
        <v>3</v>
      </c>
      <c r="R113" s="714">
        <f t="shared" si="83"/>
        <v>0.3</v>
      </c>
      <c r="S113" s="3230"/>
      <c r="T113" s="3245">
        <f t="shared" si="66"/>
        <v>0</v>
      </c>
      <c r="U113" s="619">
        <f t="shared" si="58"/>
        <v>0</v>
      </c>
      <c r="V113" s="620">
        <f>ROUNDDOWN(AE113,1)</f>
        <v>3</v>
      </c>
      <c r="W113" s="554"/>
      <c r="X113" s="689">
        <f>IF(採点Q3!F7="対象外",0,採点Q3!F7)</f>
        <v>3</v>
      </c>
      <c r="Y113" s="3240"/>
      <c r="Z113" s="2445"/>
      <c r="AA113" s="3246">
        <f>IF($AA$3=4,P113,X113)</f>
        <v>3</v>
      </c>
      <c r="AB113" s="622">
        <f>重み!D113</f>
        <v>0.3</v>
      </c>
      <c r="AC113" s="3246">
        <f t="shared" ref="AC113:AC116" si="92">IF($AA$3=4,S113,Y113)</f>
        <v>0</v>
      </c>
      <c r="AD113" s="622">
        <f>重み!E113</f>
        <v>0</v>
      </c>
      <c r="AE113" s="601">
        <f>IF(AC113=0,AA113,IF(AA113=0,AC113,AA113*AG$6+AC113*AI$6))</f>
        <v>3</v>
      </c>
      <c r="AF113" s="554"/>
      <c r="AG113" s="582">
        <f>重み!M113</f>
        <v>0.3</v>
      </c>
      <c r="AH113" s="568"/>
      <c r="AI113" s="582">
        <f>重み!N113</f>
        <v>0</v>
      </c>
      <c r="AJ113" s="2445"/>
      <c r="AK113" s="3211">
        <v>3</v>
      </c>
      <c r="AL113" s="3211"/>
      <c r="AM113" s="3211"/>
      <c r="AN113" s="3211"/>
      <c r="AO113" s="3211"/>
      <c r="AP113" s="3211">
        <v>3</v>
      </c>
      <c r="AQ113" s="3211"/>
      <c r="AR113" s="3211"/>
      <c r="AS113" s="3211"/>
      <c r="AT113" s="3211"/>
      <c r="AU113" s="2385">
        <f>ROUNDDOWN(AY113,1)</f>
        <v>3</v>
      </c>
      <c r="AV113" s="799">
        <f>R113</f>
        <v>0.3</v>
      </c>
      <c r="AW113" s="662"/>
      <c r="AX113" s="2359"/>
      <c r="AY113" s="2384">
        <f>SUMPRODUCT($BB$7:$BK$7,AK113:AT113)/BA113</f>
        <v>3</v>
      </c>
      <c r="BA113" s="2383">
        <f>SUMPRODUCT($BB$7:$BK$7,BB113:BK113)</f>
        <v>0.98425196850393704</v>
      </c>
      <c r="BB113" s="2369">
        <f t="shared" ref="BB113:BK117" si="93">IF(AK113&gt;0,1,0)</f>
        <v>1</v>
      </c>
      <c r="BC113" s="2369">
        <f t="shared" si="93"/>
        <v>0</v>
      </c>
      <c r="BD113" s="2369">
        <f t="shared" si="93"/>
        <v>0</v>
      </c>
      <c r="BE113" s="2369">
        <f t="shared" si="93"/>
        <v>0</v>
      </c>
      <c r="BF113" s="2369">
        <f t="shared" si="93"/>
        <v>0</v>
      </c>
      <c r="BG113" s="2369">
        <f t="shared" si="93"/>
        <v>1</v>
      </c>
      <c r="BH113" s="2369">
        <f t="shared" si="93"/>
        <v>0</v>
      </c>
      <c r="BI113" s="2369">
        <f t="shared" si="93"/>
        <v>0</v>
      </c>
      <c r="BJ113" s="2369">
        <f t="shared" si="93"/>
        <v>0</v>
      </c>
      <c r="BK113" s="2369">
        <f t="shared" si="93"/>
        <v>0</v>
      </c>
      <c r="BM113" s="1" t="s">
        <v>3251</v>
      </c>
      <c r="BN113" s="1">
        <f t="shared" ref="BN113:BN116" si="94">IF(AND(ISERROR(Q113)=FALSE,ISERROR(R113)=FALSE,ISERROR(T113)=FALSE,ISERROR(U113)=FALSE),IF(OR(AND(Q113&gt;3,R113&gt;0),AND(T113&gt;3,U113&gt;0)),MAX(Q113,T113),0),0)</f>
        <v>0</v>
      </c>
      <c r="BO113" s="2895" t="str">
        <f t="shared" ref="BO113:BO116" si="95">IF(K113=0,"",K113)</f>
        <v/>
      </c>
    </row>
    <row r="114" spans="2:67" s="2445" customFormat="1" ht="14.25" hidden="1" thickBot="1">
      <c r="B114" s="3281">
        <v>1</v>
      </c>
      <c r="C114" s="3282" t="s">
        <v>4066</v>
      </c>
      <c r="D114" s="3285"/>
      <c r="E114" s="628"/>
      <c r="F114" s="670"/>
      <c r="G114" s="3328"/>
      <c r="H114" s="3329"/>
      <c r="I114" s="2920"/>
      <c r="J114" s="2921"/>
      <c r="K114" s="2912"/>
      <c r="L114" s="2915"/>
      <c r="M114" s="2915"/>
      <c r="N114" s="2915"/>
      <c r="O114" s="2914"/>
      <c r="P114" s="3247">
        <f>ROUNDDOWN(AA114,1)</f>
        <v>0</v>
      </c>
      <c r="Q114" s="3247">
        <f t="shared" si="65"/>
        <v>0</v>
      </c>
      <c r="R114" s="666">
        <f>AB114</f>
        <v>0</v>
      </c>
      <c r="S114" s="667">
        <f>ROUNDDOWN(AC114,1)</f>
        <v>0</v>
      </c>
      <c r="T114" s="630">
        <f t="shared" si="66"/>
        <v>0</v>
      </c>
      <c r="U114" s="668">
        <f t="shared" si="58"/>
        <v>0</v>
      </c>
      <c r="V114" s="662">
        <f>ROUNDDOWN(AE114,1)</f>
        <v>0</v>
      </c>
      <c r="W114" s="554"/>
      <c r="X114" s="3248">
        <v>100</v>
      </c>
      <c r="Y114" s="3240"/>
      <c r="AA114" s="3202">
        <f>AA115*AB115</f>
        <v>0</v>
      </c>
      <c r="AB114" s="622">
        <f>重み!D114</f>
        <v>0</v>
      </c>
      <c r="AC114" s="3202">
        <f>AC115*AD115</f>
        <v>0</v>
      </c>
      <c r="AD114" s="623">
        <f>SUM(AD115)</f>
        <v>0</v>
      </c>
      <c r="AE114" s="601">
        <f>IF(AC114=0,AA114,IF(AA114=0,AC114,AA114*AG$6+AC114*AI$6))</f>
        <v>0</v>
      </c>
      <c r="AF114" s="554"/>
      <c r="AG114" s="582">
        <f>重み!M114</f>
        <v>0</v>
      </c>
      <c r="AH114" s="568"/>
      <c r="AI114" s="623">
        <f>SUM(AI115)</f>
        <v>0</v>
      </c>
      <c r="AK114" s="3211"/>
      <c r="AL114" s="3211"/>
      <c r="AM114" s="3211"/>
      <c r="AN114" s="3211"/>
      <c r="AO114" s="3211"/>
      <c r="AP114" s="3211"/>
      <c r="AQ114" s="3211"/>
      <c r="AR114" s="3211"/>
      <c r="AS114" s="3211"/>
      <c r="AT114" s="3211"/>
      <c r="AU114" s="2385"/>
      <c r="AV114" s="799"/>
      <c r="AW114" s="662"/>
      <c r="AY114" s="2384"/>
      <c r="BA114" s="2383"/>
      <c r="BB114" s="2369"/>
      <c r="BC114" s="2369"/>
      <c r="BD114" s="2369"/>
      <c r="BE114" s="2369"/>
      <c r="BF114" s="2369"/>
      <c r="BG114" s="2369"/>
      <c r="BH114" s="2369"/>
      <c r="BI114" s="2369"/>
      <c r="BJ114" s="2369"/>
      <c r="BK114" s="2369"/>
      <c r="BM114" s="1"/>
      <c r="BN114" s="1"/>
      <c r="BO114" s="2895"/>
    </row>
    <row r="115" spans="2:67" s="2445" customFormat="1" hidden="1">
      <c r="B115" s="3283"/>
      <c r="C115" s="3284">
        <v>1.1000000000000001</v>
      </c>
      <c r="D115" s="3286" t="s">
        <v>4067</v>
      </c>
      <c r="E115" s="745"/>
      <c r="F115" s="688"/>
      <c r="G115" s="3330"/>
      <c r="H115" s="3331"/>
      <c r="I115" s="2920"/>
      <c r="J115" s="2921"/>
      <c r="K115" s="2912"/>
      <c r="L115" s="2915"/>
      <c r="M115" s="2915"/>
      <c r="N115" s="2915"/>
      <c r="O115" s="2914"/>
      <c r="P115" s="3194">
        <v>3</v>
      </c>
      <c r="Q115" s="738">
        <f t="shared" si="65"/>
        <v>100</v>
      </c>
      <c r="R115" s="3249">
        <f>AB115</f>
        <v>0</v>
      </c>
      <c r="S115" s="3250"/>
      <c r="T115" s="3251">
        <f t="shared" si="66"/>
        <v>0</v>
      </c>
      <c r="U115" s="661">
        <f t="shared" si="58"/>
        <v>0</v>
      </c>
      <c r="V115" s="662"/>
      <c r="W115" s="554"/>
      <c r="X115" s="3248">
        <v>100</v>
      </c>
      <c r="Y115" s="3240"/>
      <c r="AA115" s="3200">
        <f t="shared" ref="AA115:AA116" si="96">IF($AA$3=4,P115,X115)</f>
        <v>100</v>
      </c>
      <c r="AB115" s="622">
        <f>重み!D115</f>
        <v>0</v>
      </c>
      <c r="AC115" s="3200">
        <f t="shared" si="92"/>
        <v>0</v>
      </c>
      <c r="AD115" s="622">
        <f>重み!E115</f>
        <v>0</v>
      </c>
      <c r="AE115" s="601"/>
      <c r="AF115" s="554"/>
      <c r="AG115" s="582">
        <f>重み!M115</f>
        <v>0</v>
      </c>
      <c r="AH115" s="568"/>
      <c r="AI115" s="582">
        <f>重み!N115</f>
        <v>0</v>
      </c>
      <c r="AK115" s="3211"/>
      <c r="AL115" s="3211"/>
      <c r="AM115" s="3211"/>
      <c r="AN115" s="3211"/>
      <c r="AO115" s="3211"/>
      <c r="AP115" s="3211"/>
      <c r="AQ115" s="3211"/>
      <c r="AR115" s="3211"/>
      <c r="AS115" s="3211"/>
      <c r="AT115" s="3211"/>
      <c r="AU115" s="2385"/>
      <c r="AV115" s="799"/>
      <c r="AW115" s="662"/>
      <c r="AY115" s="2384"/>
      <c r="BA115" s="2383"/>
      <c r="BB115" s="2369"/>
      <c r="BC115" s="2369"/>
      <c r="BD115" s="2369"/>
      <c r="BE115" s="2369"/>
      <c r="BF115" s="2369"/>
      <c r="BG115" s="2369"/>
      <c r="BH115" s="2369"/>
      <c r="BI115" s="2369"/>
      <c r="BJ115" s="2369"/>
      <c r="BK115" s="2369"/>
      <c r="BM115" s="1"/>
      <c r="BN115" s="1"/>
      <c r="BO115" s="2895"/>
    </row>
    <row r="116" spans="2:67" ht="21.75" thickBot="1">
      <c r="B116" s="739">
        <v>2</v>
      </c>
      <c r="C116" s="740" t="s">
        <v>1030</v>
      </c>
      <c r="D116" s="628"/>
      <c r="E116" s="628"/>
      <c r="F116" s="670"/>
      <c r="G116" s="3332" t="s">
        <v>4099</v>
      </c>
      <c r="H116" s="3333" t="s">
        <v>4099</v>
      </c>
      <c r="I116" s="2486" t="s">
        <v>2530</v>
      </c>
      <c r="J116" s="2487" t="s">
        <v>2525</v>
      </c>
      <c r="K116" s="3614"/>
      <c r="L116" s="3615"/>
      <c r="M116" s="3615"/>
      <c r="N116" s="3615"/>
      <c r="O116" s="3616"/>
      <c r="P116" s="3199">
        <v>0</v>
      </c>
      <c r="Q116" s="656">
        <f t="shared" si="65"/>
        <v>3</v>
      </c>
      <c r="R116" s="3249">
        <f t="shared" si="83"/>
        <v>0.4</v>
      </c>
      <c r="S116" s="3250"/>
      <c r="T116" s="3251">
        <f t="shared" si="66"/>
        <v>0</v>
      </c>
      <c r="U116" s="661">
        <f t="shared" si="58"/>
        <v>0</v>
      </c>
      <c r="V116" s="662">
        <f>ROUNDDOWN(AE116,1)</f>
        <v>3</v>
      </c>
      <c r="W116" s="554"/>
      <c r="X116" s="695">
        <f>IF(採点Q3!F37="対象外",0,採点Q3!F37)</f>
        <v>3</v>
      </c>
      <c r="Y116" s="3240"/>
      <c r="Z116" s="2445"/>
      <c r="AA116" s="3246">
        <f t="shared" si="96"/>
        <v>3</v>
      </c>
      <c r="AB116" s="622">
        <f>重み!D116</f>
        <v>0.4</v>
      </c>
      <c r="AC116" s="3246">
        <f t="shared" si="92"/>
        <v>0</v>
      </c>
      <c r="AD116" s="622">
        <f>重み!E116</f>
        <v>0</v>
      </c>
      <c r="AE116" s="601">
        <f>IF(AC116=0,AA116,IF(AA116=0,AC116,AA116*AG$6+AC116*AI$6))</f>
        <v>3</v>
      </c>
      <c r="AF116" s="554"/>
      <c r="AG116" s="582">
        <f>重み!M116</f>
        <v>0.4</v>
      </c>
      <c r="AH116" s="568"/>
      <c r="AI116" s="582">
        <f>重み!N116</f>
        <v>0</v>
      </c>
      <c r="AJ116" s="2445"/>
      <c r="AK116" s="3211">
        <v>3</v>
      </c>
      <c r="AL116" s="3211"/>
      <c r="AM116" s="3211"/>
      <c r="AN116" s="3211"/>
      <c r="AO116" s="3211"/>
      <c r="AP116" s="3211">
        <v>3</v>
      </c>
      <c r="AQ116" s="3211"/>
      <c r="AR116" s="3211"/>
      <c r="AS116" s="3211"/>
      <c r="AT116" s="3211"/>
      <c r="AU116" s="2385">
        <f>ROUNDDOWN(AY116,1)</f>
        <v>3</v>
      </c>
      <c r="AV116" s="799">
        <f>R116</f>
        <v>0.4</v>
      </c>
      <c r="AW116" s="662"/>
      <c r="AX116" s="2359"/>
      <c r="AY116" s="2384">
        <f>SUMPRODUCT($BB$7:$BK$7,AK116:AT116)/BA116</f>
        <v>3</v>
      </c>
      <c r="BA116" s="2383">
        <f>SUMPRODUCT($BB$7:$BK$7,BB116:BK116)</f>
        <v>0.98425196850393704</v>
      </c>
      <c r="BB116" s="2369">
        <f t="shared" si="93"/>
        <v>1</v>
      </c>
      <c r="BC116" s="2369">
        <f t="shared" si="93"/>
        <v>0</v>
      </c>
      <c r="BD116" s="2369">
        <f t="shared" si="93"/>
        <v>0</v>
      </c>
      <c r="BE116" s="2369">
        <f t="shared" si="93"/>
        <v>0</v>
      </c>
      <c r="BF116" s="2369">
        <f t="shared" si="93"/>
        <v>0</v>
      </c>
      <c r="BG116" s="2369">
        <f t="shared" si="93"/>
        <v>1</v>
      </c>
      <c r="BH116" s="2369">
        <f t="shared" si="93"/>
        <v>0</v>
      </c>
      <c r="BI116" s="2369">
        <f t="shared" si="93"/>
        <v>0</v>
      </c>
      <c r="BJ116" s="2369">
        <f t="shared" si="93"/>
        <v>0</v>
      </c>
      <c r="BK116" s="2369">
        <f t="shared" si="93"/>
        <v>0</v>
      </c>
      <c r="BM116" s="1" t="s">
        <v>3252</v>
      </c>
      <c r="BN116" s="1">
        <f t="shared" si="94"/>
        <v>0</v>
      </c>
      <c r="BO116" s="2895" t="str">
        <f t="shared" si="95"/>
        <v/>
      </c>
    </row>
    <row r="117" spans="2:67" ht="14.25" thickBot="1">
      <c r="B117" s="712">
        <v>3</v>
      </c>
      <c r="C117" s="742" t="s">
        <v>1031</v>
      </c>
      <c r="D117" s="635"/>
      <c r="E117" s="635"/>
      <c r="F117" s="688"/>
      <c r="G117" s="3334"/>
      <c r="H117" s="3335"/>
      <c r="I117" s="2461"/>
      <c r="J117" s="2462"/>
      <c r="K117" s="2845"/>
      <c r="L117" s="2846"/>
      <c r="M117" s="2846"/>
      <c r="N117" s="2846"/>
      <c r="O117" s="2847"/>
      <c r="P117" s="680">
        <f>ROUNDDOWN(AA117,1)</f>
        <v>3</v>
      </c>
      <c r="Q117" s="680">
        <f t="shared" si="65"/>
        <v>3</v>
      </c>
      <c r="R117" s="741">
        <f>AB117</f>
        <v>0.3</v>
      </c>
      <c r="S117" s="3252">
        <f>ROUNDDOWN(AC117,1)</f>
        <v>0</v>
      </c>
      <c r="T117" s="3253">
        <f t="shared" si="66"/>
        <v>0</v>
      </c>
      <c r="U117" s="661">
        <f t="shared" si="58"/>
        <v>0</v>
      </c>
      <c r="V117" s="662">
        <f>ROUNDDOWN(AE117,1)</f>
        <v>3</v>
      </c>
      <c r="W117" s="554"/>
      <c r="X117" s="716"/>
      <c r="Y117" s="3240"/>
      <c r="Z117" s="2445"/>
      <c r="AA117" s="3202">
        <f>AA118*AB118+AA119*AB119</f>
        <v>3</v>
      </c>
      <c r="AB117" s="622">
        <f>重み!D117</f>
        <v>0.3</v>
      </c>
      <c r="AC117" s="3202">
        <f>AC118*AD118+AC119*AD119</f>
        <v>0</v>
      </c>
      <c r="AD117" s="623">
        <f>SUM(AD118,AD119)</f>
        <v>0</v>
      </c>
      <c r="AE117" s="601">
        <f>IF(AC117=0,AA117,IF(AA117=0,AC117,AA117*AG$6+AC117*AI$6))</f>
        <v>3</v>
      </c>
      <c r="AF117" s="554"/>
      <c r="AG117" s="582">
        <f>重み!M117</f>
        <v>0.3</v>
      </c>
      <c r="AH117" s="568"/>
      <c r="AI117" s="623">
        <f>SUM(AI118,AI119)</f>
        <v>0</v>
      </c>
      <c r="AJ117" s="2445"/>
      <c r="AK117" s="3211">
        <v>3</v>
      </c>
      <c r="AL117" s="3211"/>
      <c r="AM117" s="3211"/>
      <c r="AN117" s="3211"/>
      <c r="AO117" s="3211"/>
      <c r="AP117" s="3211">
        <v>3</v>
      </c>
      <c r="AQ117" s="3211"/>
      <c r="AR117" s="3211"/>
      <c r="AS117" s="3211"/>
      <c r="AT117" s="3211"/>
      <c r="AU117" s="2385">
        <f>ROUNDDOWN(AY117,1)</f>
        <v>3</v>
      </c>
      <c r="AV117" s="799">
        <f>R117</f>
        <v>0.3</v>
      </c>
      <c r="AW117" s="662"/>
      <c r="AX117" s="2359"/>
      <c r="AY117" s="2384">
        <f>SUMPRODUCT($BB$7:$BK$7,AK117:AT117)/BA117</f>
        <v>3</v>
      </c>
      <c r="BA117" s="2383">
        <f>SUMPRODUCT($BB$7:$BK$7,BB117:BK117)</f>
        <v>0.98425196850393704</v>
      </c>
      <c r="BB117" s="2369">
        <f t="shared" si="93"/>
        <v>1</v>
      </c>
      <c r="BC117" s="2369">
        <f t="shared" si="93"/>
        <v>0</v>
      </c>
      <c r="BD117" s="2369">
        <f t="shared" si="93"/>
        <v>0</v>
      </c>
      <c r="BE117" s="2369">
        <f t="shared" si="93"/>
        <v>0</v>
      </c>
      <c r="BF117" s="2369">
        <f t="shared" si="93"/>
        <v>0</v>
      </c>
      <c r="BG117" s="2369">
        <f t="shared" si="93"/>
        <v>1</v>
      </c>
      <c r="BH117" s="2369">
        <f t="shared" si="93"/>
        <v>0</v>
      </c>
      <c r="BI117" s="2369">
        <f t="shared" si="93"/>
        <v>0</v>
      </c>
      <c r="BJ117" s="2369">
        <f t="shared" si="93"/>
        <v>0</v>
      </c>
      <c r="BK117" s="2369">
        <f t="shared" si="93"/>
        <v>0</v>
      </c>
      <c r="BM117" s="1"/>
      <c r="BN117" s="1"/>
      <c r="BO117" s="2895"/>
    </row>
    <row r="118" spans="2:67" ht="21">
      <c r="B118" s="612"/>
      <c r="C118" s="743">
        <v>3.1</v>
      </c>
      <c r="D118" s="744" t="s">
        <v>2532</v>
      </c>
      <c r="E118" s="745"/>
      <c r="F118" s="688"/>
      <c r="G118" s="3336" t="s">
        <v>4100</v>
      </c>
      <c r="H118" s="3337" t="s">
        <v>4100</v>
      </c>
      <c r="I118" s="2488" t="s">
        <v>2526</v>
      </c>
      <c r="J118" s="2489" t="s">
        <v>2524</v>
      </c>
      <c r="K118" s="3614"/>
      <c r="L118" s="3615"/>
      <c r="M118" s="3615"/>
      <c r="N118" s="3615"/>
      <c r="O118" s="3616"/>
      <c r="P118" s="3194">
        <v>0</v>
      </c>
      <c r="Q118" s="738">
        <f t="shared" si="65"/>
        <v>3</v>
      </c>
      <c r="R118" s="714">
        <f t="shared" si="83"/>
        <v>0.5</v>
      </c>
      <c r="S118" s="3230"/>
      <c r="T118" s="3231">
        <f t="shared" si="66"/>
        <v>0</v>
      </c>
      <c r="U118" s="619">
        <f t="shared" si="58"/>
        <v>0</v>
      </c>
      <c r="V118" s="620"/>
      <c r="W118" s="554"/>
      <c r="X118" s="689">
        <f>IF(採点Q3!F62="対象外",0,採点Q3!F62)</f>
        <v>3</v>
      </c>
      <c r="Y118" s="3240"/>
      <c r="Z118" s="2445"/>
      <c r="AA118" s="3200">
        <f t="shared" ref="AA118:AA119" si="97">IF($AA$3=4,P118,X118)</f>
        <v>3</v>
      </c>
      <c r="AB118" s="622">
        <f>重み!D118</f>
        <v>0.5</v>
      </c>
      <c r="AC118" s="3200">
        <f t="shared" ref="AC118:AC119" si="98">IF($AA$3=4,S118,Y118)</f>
        <v>0</v>
      </c>
      <c r="AD118" s="622">
        <f>重み!E118</f>
        <v>0</v>
      </c>
      <c r="AE118" s="601"/>
      <c r="AF118" s="554"/>
      <c r="AG118" s="582">
        <f>重み!M118</f>
        <v>0.5</v>
      </c>
      <c r="AH118" s="568"/>
      <c r="AI118" s="582">
        <f>重み!N118</f>
        <v>0</v>
      </c>
      <c r="AJ118" s="2445"/>
      <c r="AK118" s="2445"/>
      <c r="AL118" s="2445"/>
      <c r="AM118" s="2445"/>
      <c r="AN118" s="2445"/>
      <c r="AO118" s="2445"/>
      <c r="AP118" s="2445"/>
      <c r="AQ118" s="2445"/>
      <c r="AR118" s="2445"/>
      <c r="AS118" s="2445"/>
      <c r="AT118" s="2445"/>
      <c r="AU118" s="2445"/>
      <c r="BM118" s="1" t="s">
        <v>3253</v>
      </c>
      <c r="BN118" s="1">
        <f t="shared" ref="BN118:BN119" si="99">IF(AND(ISERROR(Q118)=FALSE,ISERROR(R118)=FALSE,ISERROR(T118)=FALSE,ISERROR(U118)=FALSE),IF(OR(AND(Q118&gt;3,R118&gt;0),AND(T118&gt;3,U118&gt;0)),MAX(Q118,T118),0),0)</f>
        <v>0</v>
      </c>
      <c r="BO118" s="2895" t="str">
        <f t="shared" ref="BO118:BO119" si="100">IF(K118=0,"",K118)</f>
        <v/>
      </c>
    </row>
    <row r="119" spans="2:67" ht="14.25" thickBot="1">
      <c r="B119" s="612"/>
      <c r="C119" s="746">
        <v>3.2</v>
      </c>
      <c r="D119" s="730" t="s">
        <v>1032</v>
      </c>
      <c r="E119" s="747"/>
      <c r="F119" s="670"/>
      <c r="G119" s="3338" t="s">
        <v>4101</v>
      </c>
      <c r="H119" s="3339"/>
      <c r="I119" s="2490" t="s">
        <v>2529</v>
      </c>
      <c r="J119" s="2491" t="s">
        <v>2518</v>
      </c>
      <c r="K119" s="3614"/>
      <c r="L119" s="3615"/>
      <c r="M119" s="3615"/>
      <c r="N119" s="3615"/>
      <c r="O119" s="3616"/>
      <c r="P119" s="3199">
        <v>0</v>
      </c>
      <c r="Q119" s="656">
        <f t="shared" si="65"/>
        <v>3</v>
      </c>
      <c r="R119" s="714">
        <f t="shared" si="83"/>
        <v>0.5</v>
      </c>
      <c r="S119" s="3230"/>
      <c r="T119" s="3231">
        <f t="shared" si="66"/>
        <v>0</v>
      </c>
      <c r="U119" s="748">
        <f t="shared" si="58"/>
        <v>0</v>
      </c>
      <c r="V119" s="620"/>
      <c r="W119" s="554"/>
      <c r="X119" s="695">
        <f>IF(採点Q3!F95="対象外",0,採点Q3!F95)</f>
        <v>3</v>
      </c>
      <c r="Y119" s="3240"/>
      <c r="Z119" s="2445"/>
      <c r="AA119" s="3200">
        <f t="shared" si="97"/>
        <v>3</v>
      </c>
      <c r="AB119" s="622">
        <f>重み!D119</f>
        <v>0.5</v>
      </c>
      <c r="AC119" s="3200">
        <f t="shared" si="98"/>
        <v>0</v>
      </c>
      <c r="AD119" s="622">
        <f>重み!E119</f>
        <v>0</v>
      </c>
      <c r="AE119" s="601"/>
      <c r="AF119" s="554"/>
      <c r="AG119" s="582">
        <f>重み!M119</f>
        <v>0.5</v>
      </c>
      <c r="AH119" s="568"/>
      <c r="AI119" s="582">
        <f>重み!N119</f>
        <v>0</v>
      </c>
      <c r="AJ119" s="2445"/>
      <c r="AK119" s="2445"/>
      <c r="AL119" s="2445"/>
      <c r="AM119" s="2445"/>
      <c r="AN119" s="2445"/>
      <c r="AO119" s="2445"/>
      <c r="AP119" s="2445"/>
      <c r="AQ119" s="2445"/>
      <c r="AR119" s="2445"/>
      <c r="AS119" s="2445"/>
      <c r="AT119" s="2445"/>
      <c r="AU119" s="2445"/>
      <c r="BM119" s="1" t="s">
        <v>3254</v>
      </c>
      <c r="BN119" s="1">
        <f t="shared" si="99"/>
        <v>0</v>
      </c>
      <c r="BO119" s="2895" t="str">
        <f t="shared" si="100"/>
        <v/>
      </c>
    </row>
    <row r="120" spans="2:67" ht="14.25" hidden="1" thickBot="1">
      <c r="B120" s="749"/>
      <c r="C120" s="750"/>
      <c r="D120" s="751"/>
      <c r="E120" s="752"/>
      <c r="F120" s="753"/>
      <c r="G120" s="3340"/>
      <c r="H120" s="3340"/>
      <c r="I120" s="2492"/>
      <c r="J120" s="2493"/>
      <c r="K120" s="2859"/>
      <c r="L120" s="2860"/>
      <c r="M120" s="2860"/>
      <c r="N120" s="2860"/>
      <c r="O120" s="2861"/>
      <c r="P120" s="725"/>
      <c r="Q120" s="725">
        <f t="shared" si="65"/>
        <v>0</v>
      </c>
      <c r="R120" s="754">
        <f t="shared" si="83"/>
        <v>0</v>
      </c>
      <c r="S120" s="715"/>
      <c r="T120" s="3254">
        <f t="shared" si="66"/>
        <v>0</v>
      </c>
      <c r="U120" s="755">
        <f t="shared" si="58"/>
        <v>0</v>
      </c>
      <c r="V120" s="620"/>
      <c r="W120" s="554"/>
      <c r="X120" s="3224"/>
      <c r="Y120" s="3240"/>
      <c r="Z120" s="2445"/>
      <c r="AA120" s="675"/>
      <c r="AB120" s="610">
        <f>重み!D120</f>
        <v>0</v>
      </c>
      <c r="AC120" s="675"/>
      <c r="AD120" s="610">
        <f>重み!E120</f>
        <v>0</v>
      </c>
      <c r="AE120" s="601"/>
      <c r="AF120" s="554"/>
      <c r="AG120" s="582">
        <f>重み!M120</f>
        <v>0</v>
      </c>
      <c r="AH120" s="568"/>
      <c r="AI120" s="582">
        <f>重み!N120</f>
        <v>0</v>
      </c>
      <c r="AJ120" s="2445"/>
      <c r="AK120" s="2445"/>
      <c r="AL120" s="2445"/>
      <c r="AM120" s="2445"/>
      <c r="AN120" s="2445"/>
      <c r="AO120" s="2445"/>
      <c r="AP120" s="2445"/>
      <c r="AQ120" s="2445"/>
      <c r="AR120" s="2445"/>
      <c r="AS120" s="2445"/>
      <c r="AT120" s="2445"/>
      <c r="AU120" s="2445"/>
      <c r="BM120" s="1"/>
      <c r="BN120" s="1"/>
      <c r="BO120" s="2895">
        <f t="shared" si="74"/>
        <v>0</v>
      </c>
    </row>
    <row r="121" spans="2:67" ht="16.5" thickBot="1">
      <c r="B121" s="756" t="s">
        <v>1033</v>
      </c>
      <c r="C121" s="757"/>
      <c r="D121" s="757"/>
      <c r="E121" s="757"/>
      <c r="F121" s="758"/>
      <c r="G121" s="3341"/>
      <c r="H121" s="3341"/>
      <c r="I121" s="2494"/>
      <c r="J121" s="2495"/>
      <c r="K121" s="2862"/>
      <c r="L121" s="2863"/>
      <c r="M121" s="2863"/>
      <c r="N121" s="2863"/>
      <c r="O121" s="2864"/>
      <c r="P121" s="759"/>
      <c r="Q121" s="759"/>
      <c r="R121" s="760">
        <f t="shared" si="83"/>
        <v>0</v>
      </c>
      <c r="S121" s="761"/>
      <c r="T121" s="761"/>
      <c r="U121" s="762">
        <f t="shared" si="58"/>
        <v>0</v>
      </c>
      <c r="V121" s="763" t="e">
        <f>ROUNDDOWN(AE121,1)</f>
        <v>#DIV/0!</v>
      </c>
      <c r="W121" s="554"/>
      <c r="X121" s="728"/>
      <c r="Y121" s="3240"/>
      <c r="Z121" s="2445"/>
      <c r="AA121" s="675"/>
      <c r="AB121" s="622">
        <f>重み!D121</f>
        <v>0</v>
      </c>
      <c r="AC121" s="675"/>
      <c r="AD121" s="622"/>
      <c r="AE121" s="3220" t="e">
        <f>AB122*AE122+AB145*AE145+AB172*AE172</f>
        <v>#DIV/0!</v>
      </c>
      <c r="AF121" s="554"/>
      <c r="AG121" s="582">
        <f>重み!M121</f>
        <v>0</v>
      </c>
      <c r="AH121" s="568"/>
      <c r="AI121" s="582">
        <f>重み!N121</f>
        <v>0</v>
      </c>
      <c r="AJ121" s="2445"/>
      <c r="AK121" s="2364"/>
      <c r="AL121" s="2364"/>
      <c r="AM121" s="2364"/>
      <c r="AN121" s="2364"/>
      <c r="AO121" s="2364"/>
      <c r="AP121" s="2364"/>
      <c r="AQ121" s="2364"/>
      <c r="AR121" s="2364"/>
      <c r="AS121" s="2364"/>
      <c r="AT121" s="2371"/>
      <c r="AU121" s="2377"/>
      <c r="AV121" s="2378"/>
      <c r="AW121" s="2365" t="e">
        <f t="shared" ref="AW121:AW122" si="101">ROUNDDOWN(AY121,1)</f>
        <v>#DIV/0!</v>
      </c>
      <c r="AY121" s="2384" t="e">
        <f>AV122*AY122+AV145*AY145+AV172*AY172</f>
        <v>#DIV/0!</v>
      </c>
      <c r="BM121" s="1"/>
      <c r="BN121" s="1"/>
      <c r="BO121" s="2895"/>
    </row>
    <row r="122" spans="2:67" ht="15.75" thickBot="1">
      <c r="B122" s="764" t="s">
        <v>1034</v>
      </c>
      <c r="C122" s="603" t="s">
        <v>1035</v>
      </c>
      <c r="D122" s="603"/>
      <c r="E122" s="603"/>
      <c r="F122" s="765"/>
      <c r="G122" s="3301"/>
      <c r="H122" s="3301"/>
      <c r="I122" s="2455"/>
      <c r="J122" s="2456"/>
      <c r="K122" s="2839"/>
      <c r="L122" s="2840"/>
      <c r="M122" s="2840"/>
      <c r="N122" s="2840"/>
      <c r="O122" s="2841"/>
      <c r="P122" s="766"/>
      <c r="Q122" s="766">
        <f t="shared" si="65"/>
        <v>0</v>
      </c>
      <c r="R122" s="606" t="e">
        <f t="shared" si="83"/>
        <v>#DIV/0!</v>
      </c>
      <c r="S122" s="607"/>
      <c r="T122" s="607">
        <f t="shared" si="66"/>
        <v>0</v>
      </c>
      <c r="U122" s="608">
        <f t="shared" si="58"/>
        <v>0</v>
      </c>
      <c r="V122" s="609" t="e">
        <f>ROUNDDOWN(AE122,1)</f>
        <v>#DIV/0!</v>
      </c>
      <c r="W122" s="554"/>
      <c r="X122" s="728"/>
      <c r="Y122" s="3240"/>
      <c r="Z122" s="2445"/>
      <c r="AA122" s="675"/>
      <c r="AB122" s="610" t="e">
        <f>重み!D122</f>
        <v>#DIV/0!</v>
      </c>
      <c r="AC122" s="675"/>
      <c r="AD122" s="610"/>
      <c r="AE122" s="3220" t="e">
        <f>AE123*AB123+AE124*AB124+AE129*AB129+AE138*AB138</f>
        <v>#DIV/0!</v>
      </c>
      <c r="AF122" s="554"/>
      <c r="AG122" s="582">
        <f>重み!M122</f>
        <v>0.4</v>
      </c>
      <c r="AH122" s="568"/>
      <c r="AI122" s="582">
        <f>重み!N122</f>
        <v>0</v>
      </c>
      <c r="AJ122" s="2445"/>
      <c r="AK122" s="3255"/>
      <c r="AL122" s="3255"/>
      <c r="AM122" s="3255"/>
      <c r="AN122" s="3255"/>
      <c r="AO122" s="3255"/>
      <c r="AP122" s="3255"/>
      <c r="AQ122" s="3255"/>
      <c r="AR122" s="3255"/>
      <c r="AS122" s="3255"/>
      <c r="AT122" s="3256"/>
      <c r="AU122" s="2379"/>
      <c r="AV122" s="2380" t="e">
        <f>R122</f>
        <v>#DIV/0!</v>
      </c>
      <c r="AW122" s="609" t="e">
        <f t="shared" si="101"/>
        <v>#DIV/0!</v>
      </c>
      <c r="AY122" s="2384" t="e">
        <f>SUMPRODUCT(AV123:AV144,AY123:AY144)</f>
        <v>#DIV/0!</v>
      </c>
      <c r="BM122" s="1"/>
      <c r="BN122" s="1"/>
      <c r="BO122" s="2895"/>
    </row>
    <row r="123" spans="2:67" ht="14.25" thickBot="1">
      <c r="B123" s="612">
        <v>1</v>
      </c>
      <c r="C123" s="614" t="s">
        <v>1792</v>
      </c>
      <c r="D123" s="614"/>
      <c r="E123" s="614"/>
      <c r="F123" s="767"/>
      <c r="G123" s="3342" t="s">
        <v>4102</v>
      </c>
      <c r="H123" s="3342" t="s">
        <v>4102</v>
      </c>
      <c r="I123" s="2457"/>
      <c r="J123" s="2458"/>
      <c r="K123" s="3653"/>
      <c r="L123" s="3654"/>
      <c r="M123" s="3654"/>
      <c r="N123" s="3654"/>
      <c r="O123" s="3655"/>
      <c r="P123" s="3257">
        <v>3</v>
      </c>
      <c r="Q123" s="768">
        <f t="shared" si="65"/>
        <v>1</v>
      </c>
      <c r="R123" s="714" t="e">
        <f t="shared" si="83"/>
        <v>#DIV/0!</v>
      </c>
      <c r="S123" s="3258"/>
      <c r="T123" s="3258">
        <f t="shared" si="66"/>
        <v>0</v>
      </c>
      <c r="U123" s="619">
        <f t="shared" si="58"/>
        <v>0</v>
      </c>
      <c r="V123" s="620">
        <f>ROUNDDOWN(AE123,1)</f>
        <v>1</v>
      </c>
      <c r="W123" s="554"/>
      <c r="X123" s="689">
        <f>採点LR1!F16</f>
        <v>1</v>
      </c>
      <c r="Y123" s="3240"/>
      <c r="Z123" s="2445"/>
      <c r="AA123" s="3246">
        <f t="shared" ref="AA123" si="102">IF($AA$3=4,P123,X123)</f>
        <v>1</v>
      </c>
      <c r="AB123" s="622" t="e">
        <f>重み!D123</f>
        <v>#DIV/0!</v>
      </c>
      <c r="AC123" s="3246">
        <f t="shared" ref="AC123:AC129" si="103">IF($AA$3=4,S123,Y123)</f>
        <v>0</v>
      </c>
      <c r="AD123" s="622">
        <f>重み!E123</f>
        <v>0</v>
      </c>
      <c r="AE123" s="601">
        <f>IF(AC123=0,AA123,AA123*AG$6+AC123*AI$6)</f>
        <v>1</v>
      </c>
      <c r="AF123" s="554"/>
      <c r="AG123" s="582">
        <f>重み!M123</f>
        <v>0.2</v>
      </c>
      <c r="AH123" s="568"/>
      <c r="AI123" s="582">
        <f>重み!N123</f>
        <v>0</v>
      </c>
      <c r="AJ123" s="2445"/>
      <c r="AK123" s="3211"/>
      <c r="AL123" s="3211"/>
      <c r="AM123" s="3211"/>
      <c r="AN123" s="3211"/>
      <c r="AO123" s="3211"/>
      <c r="AP123" s="3211"/>
      <c r="AQ123" s="3211"/>
      <c r="AR123" s="3211"/>
      <c r="AS123" s="3211"/>
      <c r="AT123" s="3211"/>
      <c r="AU123" s="2385">
        <f t="shared" ref="AU123:AU138" si="104">ROUNDDOWN(AY123,1)</f>
        <v>1</v>
      </c>
      <c r="AV123" s="799" t="e">
        <f>R123</f>
        <v>#DIV/0!</v>
      </c>
      <c r="AW123" s="662"/>
      <c r="AX123" s="2359"/>
      <c r="AY123" s="2405">
        <f>X123</f>
        <v>1</v>
      </c>
      <c r="BA123" s="2383">
        <f>SUMPRODUCT($BB$7:$BK$7,BB123:BK123)</f>
        <v>0</v>
      </c>
      <c r="BB123" s="2369">
        <f t="shared" ref="BB123:BK124" si="105">IF(AK123&gt;0,1,0)</f>
        <v>0</v>
      </c>
      <c r="BC123" s="2369">
        <f t="shared" si="105"/>
        <v>0</v>
      </c>
      <c r="BD123" s="2369">
        <f t="shared" si="105"/>
        <v>0</v>
      </c>
      <c r="BE123" s="2369">
        <f t="shared" si="105"/>
        <v>0</v>
      </c>
      <c r="BF123" s="2369">
        <f t="shared" si="105"/>
        <v>0</v>
      </c>
      <c r="BG123" s="2369">
        <f t="shared" si="105"/>
        <v>0</v>
      </c>
      <c r="BH123" s="2369">
        <f t="shared" si="105"/>
        <v>0</v>
      </c>
      <c r="BI123" s="2369">
        <f t="shared" si="105"/>
        <v>0</v>
      </c>
      <c r="BJ123" s="2369">
        <f t="shared" si="105"/>
        <v>0</v>
      </c>
      <c r="BK123" s="2369">
        <f t="shared" si="105"/>
        <v>0</v>
      </c>
      <c r="BM123" s="1" t="s">
        <v>3255</v>
      </c>
      <c r="BN123" s="1">
        <f t="shared" ref="BN123:BN124" si="106">IF(AND(ISERROR(Q123)=FALSE,ISERROR(R123)=FALSE,ISERROR(T123)=FALSE,ISERROR(U123)=FALSE),IF(OR(AND(Q123&gt;3,R123&gt;0),AND(T123&gt;3,U123&gt;0)),MAX(Q123,T123),0),0)</f>
        <v>0</v>
      </c>
      <c r="BO123" s="2895" t="str">
        <f t="shared" ref="BO123:BO124" si="107">IF(K123=0,"",K123)</f>
        <v/>
      </c>
    </row>
    <row r="124" spans="2:67" ht="14.25" thickBot="1">
      <c r="B124" s="769">
        <v>2</v>
      </c>
      <c r="C124" s="657" t="s">
        <v>1036</v>
      </c>
      <c r="D124" s="657"/>
      <c r="E124" s="657"/>
      <c r="F124" s="770"/>
      <c r="G124" s="3343" t="s">
        <v>4103</v>
      </c>
      <c r="H124" s="3343" t="s">
        <v>4103</v>
      </c>
      <c r="I124" s="2496" t="s">
        <v>2520</v>
      </c>
      <c r="J124" s="2497" t="s">
        <v>2518</v>
      </c>
      <c r="K124" s="3614"/>
      <c r="L124" s="3615"/>
      <c r="M124" s="3615"/>
      <c r="N124" s="3615"/>
      <c r="O124" s="3616"/>
      <c r="P124" s="3257">
        <v>3</v>
      </c>
      <c r="Q124" s="768">
        <f t="shared" si="65"/>
        <v>3</v>
      </c>
      <c r="R124" s="741" t="e">
        <f t="shared" si="83"/>
        <v>#DIV/0!</v>
      </c>
      <c r="S124" s="3253"/>
      <c r="T124" s="3253">
        <f t="shared" si="66"/>
        <v>0</v>
      </c>
      <c r="U124" s="661">
        <f t="shared" si="58"/>
        <v>0</v>
      </c>
      <c r="V124" s="662">
        <f>ROUNDDOWN(AE124,1)</f>
        <v>3</v>
      </c>
      <c r="W124" s="554"/>
      <c r="X124" s="2265">
        <f>採点LR1!F28</f>
        <v>3</v>
      </c>
      <c r="Y124" s="3240"/>
      <c r="Z124" s="2445"/>
      <c r="AA124" s="3246">
        <f>IF($AA$3=4,P124,X124)</f>
        <v>3</v>
      </c>
      <c r="AB124" s="622" t="e">
        <f>重み!D124</f>
        <v>#DIV/0!</v>
      </c>
      <c r="AC124" s="3246">
        <f t="shared" si="103"/>
        <v>0</v>
      </c>
      <c r="AD124" s="622">
        <f>重み!E124</f>
        <v>0</v>
      </c>
      <c r="AE124" s="601">
        <f>IF(AC124=0,AA124,AA124*AG$6+AC124*AI$6)</f>
        <v>3</v>
      </c>
      <c r="AF124" s="554"/>
      <c r="AG124" s="582">
        <f>重み!M124</f>
        <v>0.1</v>
      </c>
      <c r="AH124" s="568"/>
      <c r="AI124" s="582">
        <f>重み!N124</f>
        <v>0</v>
      </c>
      <c r="AJ124" s="2445"/>
      <c r="AK124" s="3211">
        <v>3</v>
      </c>
      <c r="AL124" s="3211"/>
      <c r="AM124" s="3211"/>
      <c r="AN124" s="3211"/>
      <c r="AO124" s="3211"/>
      <c r="AP124" s="3211">
        <v>3</v>
      </c>
      <c r="AQ124" s="3211"/>
      <c r="AR124" s="3211"/>
      <c r="AS124" s="3211"/>
      <c r="AT124" s="3211"/>
      <c r="AU124" s="2385">
        <f t="shared" si="104"/>
        <v>3</v>
      </c>
      <c r="AV124" s="799" t="e">
        <f>R124</f>
        <v>#DIV/0!</v>
      </c>
      <c r="AW124" s="662"/>
      <c r="AX124" s="2359"/>
      <c r="AY124" s="2384">
        <f>SUMPRODUCT($BB$7:$BK$7,AK124:AT124)/BA124</f>
        <v>3</v>
      </c>
      <c r="BA124" s="2383">
        <f>SUMPRODUCT($BB$7:$BK$7,BB124:BK124)</f>
        <v>0.98425196850393704</v>
      </c>
      <c r="BB124" s="2369">
        <f t="shared" si="105"/>
        <v>1</v>
      </c>
      <c r="BC124" s="2369">
        <f t="shared" si="105"/>
        <v>0</v>
      </c>
      <c r="BD124" s="2369">
        <f t="shared" si="105"/>
        <v>0</v>
      </c>
      <c r="BE124" s="2369">
        <f t="shared" si="105"/>
        <v>0</v>
      </c>
      <c r="BF124" s="2369">
        <f t="shared" si="105"/>
        <v>0</v>
      </c>
      <c r="BG124" s="2369">
        <f t="shared" si="105"/>
        <v>1</v>
      </c>
      <c r="BH124" s="2369">
        <f t="shared" si="105"/>
        <v>0</v>
      </c>
      <c r="BI124" s="2369">
        <f t="shared" si="105"/>
        <v>0</v>
      </c>
      <c r="BJ124" s="2369">
        <f t="shared" si="105"/>
        <v>0</v>
      </c>
      <c r="BK124" s="2369">
        <f t="shared" si="105"/>
        <v>0</v>
      </c>
      <c r="BM124" s="1" t="s">
        <v>3256</v>
      </c>
      <c r="BN124" s="1">
        <f t="shared" si="106"/>
        <v>0</v>
      </c>
      <c r="BO124" s="2895" t="str">
        <f t="shared" si="107"/>
        <v/>
      </c>
    </row>
    <row r="125" spans="2:67" ht="15" hidden="1" thickBot="1">
      <c r="B125" s="771"/>
      <c r="C125" s="655"/>
      <c r="D125" s="657"/>
      <c r="E125" s="657"/>
      <c r="F125" s="770"/>
      <c r="G125" s="3344"/>
      <c r="H125" s="3344"/>
      <c r="I125" s="2459"/>
      <c r="J125" s="2460"/>
      <c r="K125" s="3614"/>
      <c r="L125" s="3615"/>
      <c r="M125" s="3615"/>
      <c r="N125" s="3615"/>
      <c r="O125" s="3616"/>
      <c r="P125" s="3197">
        <v>0</v>
      </c>
      <c r="Q125" s="637">
        <f t="shared" si="65"/>
        <v>0</v>
      </c>
      <c r="R125" s="638">
        <f t="shared" si="83"/>
        <v>0</v>
      </c>
      <c r="S125" s="3233"/>
      <c r="T125" s="3233">
        <f t="shared" si="66"/>
        <v>0</v>
      </c>
      <c r="U125" s="619">
        <f t="shared" si="58"/>
        <v>0</v>
      </c>
      <c r="V125" s="632"/>
      <c r="W125" s="554"/>
      <c r="X125" s="3208"/>
      <c r="Y125" s="3240"/>
      <c r="Z125" s="2445"/>
      <c r="AA125" s="1"/>
      <c r="AB125" s="622">
        <f>重み!D125</f>
        <v>0</v>
      </c>
      <c r="AC125" s="1"/>
      <c r="AD125" s="622">
        <f>重み!E125</f>
        <v>0</v>
      </c>
      <c r="AE125" s="601"/>
      <c r="AF125" s="554"/>
      <c r="AG125" s="582">
        <f>重み!M125</f>
        <v>0</v>
      </c>
      <c r="AH125" s="568"/>
      <c r="AI125" s="582">
        <f>重み!N125</f>
        <v>0</v>
      </c>
      <c r="AJ125" s="2445"/>
      <c r="AK125" s="2445"/>
      <c r="AL125" s="2445"/>
      <c r="AM125" s="2445"/>
      <c r="AN125" s="2445"/>
      <c r="AO125" s="2445"/>
      <c r="AP125" s="2445"/>
      <c r="AQ125" s="2445"/>
      <c r="AR125" s="2445"/>
      <c r="AS125" s="2445"/>
      <c r="AT125" s="2445"/>
      <c r="AU125" s="2404">
        <f t="shared" si="104"/>
        <v>0</v>
      </c>
      <c r="BM125" s="1"/>
      <c r="BN125" s="1"/>
      <c r="BO125" s="2895">
        <f t="shared" si="74"/>
        <v>0</v>
      </c>
    </row>
    <row r="126" spans="2:67" ht="15" hidden="1" thickBot="1">
      <c r="B126" s="771"/>
      <c r="C126" s="655"/>
      <c r="D126" s="730"/>
      <c r="E126" s="657"/>
      <c r="F126" s="770"/>
      <c r="G126" s="3344"/>
      <c r="H126" s="3344"/>
      <c r="I126" s="2459"/>
      <c r="J126" s="2460"/>
      <c r="K126" s="3614"/>
      <c r="L126" s="3615"/>
      <c r="M126" s="3615"/>
      <c r="N126" s="3615"/>
      <c r="O126" s="3616"/>
      <c r="P126" s="3199">
        <v>0</v>
      </c>
      <c r="Q126" s="656">
        <f t="shared" si="65"/>
        <v>0</v>
      </c>
      <c r="R126" s="638">
        <f t="shared" si="83"/>
        <v>0</v>
      </c>
      <c r="S126" s="3233"/>
      <c r="T126" s="3233">
        <f t="shared" si="66"/>
        <v>0</v>
      </c>
      <c r="U126" s="619">
        <f t="shared" si="58"/>
        <v>0</v>
      </c>
      <c r="V126" s="620"/>
      <c r="W126" s="554"/>
      <c r="X126" s="3208"/>
      <c r="Y126" s="3240"/>
      <c r="Z126" s="2445"/>
      <c r="AA126" s="1"/>
      <c r="AB126" s="622">
        <f>重み!D126</f>
        <v>0</v>
      </c>
      <c r="AC126" s="1"/>
      <c r="AD126" s="622">
        <f>重み!E126</f>
        <v>0</v>
      </c>
      <c r="AE126" s="601"/>
      <c r="AF126" s="554"/>
      <c r="AG126" s="582">
        <f>重み!M126</f>
        <v>0</v>
      </c>
      <c r="AH126" s="568"/>
      <c r="AI126" s="582">
        <f>重み!N126</f>
        <v>0</v>
      </c>
      <c r="AJ126" s="2445"/>
      <c r="AK126" s="2445"/>
      <c r="AL126" s="2445"/>
      <c r="AM126" s="2445"/>
      <c r="AN126" s="2445"/>
      <c r="AO126" s="2445"/>
      <c r="AP126" s="2445"/>
      <c r="AQ126" s="2445"/>
      <c r="AR126" s="2445"/>
      <c r="AS126" s="2445"/>
      <c r="AT126" s="2445"/>
      <c r="AU126" s="2404">
        <f t="shared" si="104"/>
        <v>0</v>
      </c>
      <c r="BM126" s="1"/>
      <c r="BN126" s="1"/>
      <c r="BO126" s="2895">
        <f t="shared" si="74"/>
        <v>0</v>
      </c>
    </row>
    <row r="127" spans="2:67" ht="15" hidden="1" thickBot="1">
      <c r="B127" s="771"/>
      <c r="C127" s="773"/>
      <c r="D127" s="730"/>
      <c r="E127" s="657"/>
      <c r="F127" s="770"/>
      <c r="G127" s="3344"/>
      <c r="H127" s="3344"/>
      <c r="I127" s="2496" t="s">
        <v>2520</v>
      </c>
      <c r="J127" s="2497" t="s">
        <v>2518</v>
      </c>
      <c r="K127" s="3614"/>
      <c r="L127" s="3615"/>
      <c r="M127" s="3615"/>
      <c r="N127" s="3615"/>
      <c r="O127" s="3616"/>
      <c r="P127" s="3194">
        <v>0</v>
      </c>
      <c r="Q127" s="738">
        <f t="shared" si="65"/>
        <v>0</v>
      </c>
      <c r="R127" s="638">
        <f t="shared" si="83"/>
        <v>0</v>
      </c>
      <c r="S127" s="3233"/>
      <c r="T127" s="3233">
        <f t="shared" si="66"/>
        <v>0</v>
      </c>
      <c r="U127" s="619">
        <f t="shared" si="58"/>
        <v>0</v>
      </c>
      <c r="V127" s="620"/>
      <c r="W127" s="554"/>
      <c r="X127" s="3208"/>
      <c r="Y127" s="3240"/>
      <c r="Z127" s="2445"/>
      <c r="AA127" s="1"/>
      <c r="AB127" s="622">
        <f>重み!D127</f>
        <v>0</v>
      </c>
      <c r="AC127" s="1"/>
      <c r="AD127" s="622">
        <f>重み!E127</f>
        <v>0</v>
      </c>
      <c r="AE127" s="601"/>
      <c r="AF127" s="554"/>
      <c r="AG127" s="582">
        <f>重み!M127</f>
        <v>0</v>
      </c>
      <c r="AH127" s="568"/>
      <c r="AI127" s="582">
        <f>重み!N127</f>
        <v>0</v>
      </c>
      <c r="AJ127" s="2445"/>
      <c r="AK127" s="2445"/>
      <c r="AL127" s="2445"/>
      <c r="AM127" s="2445"/>
      <c r="AN127" s="2445"/>
      <c r="AO127" s="2445"/>
      <c r="AP127" s="2445"/>
      <c r="AQ127" s="2445"/>
      <c r="AR127" s="2445"/>
      <c r="AS127" s="2445"/>
      <c r="AT127" s="2445"/>
      <c r="AU127" s="2404">
        <f t="shared" si="104"/>
        <v>0</v>
      </c>
      <c r="BM127" s="1"/>
      <c r="BN127" s="1"/>
      <c r="BO127" s="2895">
        <f t="shared" si="74"/>
        <v>0</v>
      </c>
    </row>
    <row r="128" spans="2:67" ht="15" hidden="1" thickBot="1">
      <c r="B128" s="775"/>
      <c r="C128" s="773"/>
      <c r="D128" s="730"/>
      <c r="E128" s="657"/>
      <c r="F128" s="770"/>
      <c r="G128" s="3344"/>
      <c r="H128" s="3344"/>
      <c r="I128" s="2498" t="s">
        <v>2520</v>
      </c>
      <c r="J128" s="2499" t="s">
        <v>2518</v>
      </c>
      <c r="K128" s="3614"/>
      <c r="L128" s="3615"/>
      <c r="M128" s="3615"/>
      <c r="N128" s="3615"/>
      <c r="O128" s="3616"/>
      <c r="P128" s="3199">
        <v>0</v>
      </c>
      <c r="Q128" s="656">
        <f t="shared" si="65"/>
        <v>0</v>
      </c>
      <c r="R128" s="638">
        <f t="shared" si="83"/>
        <v>0</v>
      </c>
      <c r="S128" s="3233"/>
      <c r="T128" s="3233">
        <f t="shared" si="66"/>
        <v>0</v>
      </c>
      <c r="U128" s="619">
        <f t="shared" si="58"/>
        <v>0</v>
      </c>
      <c r="V128" s="709"/>
      <c r="W128" s="554"/>
      <c r="X128" s="3208"/>
      <c r="Y128" s="3240"/>
      <c r="Z128" s="2445"/>
      <c r="AA128" s="1"/>
      <c r="AB128" s="622">
        <f>重み!D128</f>
        <v>0</v>
      </c>
      <c r="AC128" s="1"/>
      <c r="AD128" s="622">
        <f>重み!E128</f>
        <v>0</v>
      </c>
      <c r="AE128" s="601"/>
      <c r="AF128" s="554"/>
      <c r="AG128" s="582">
        <f>重み!M128</f>
        <v>0</v>
      </c>
      <c r="AH128" s="568"/>
      <c r="AI128" s="582">
        <f>重み!N128</f>
        <v>0</v>
      </c>
      <c r="AJ128" s="2445"/>
      <c r="AK128" s="2445"/>
      <c r="AL128" s="2445"/>
      <c r="AM128" s="2445"/>
      <c r="AN128" s="2445"/>
      <c r="AO128" s="2445"/>
      <c r="AP128" s="2445"/>
      <c r="AQ128" s="2445"/>
      <c r="AR128" s="2445"/>
      <c r="AS128" s="2445"/>
      <c r="AT128" s="2445"/>
      <c r="AU128" s="2404">
        <f t="shared" si="104"/>
        <v>0</v>
      </c>
      <c r="BM128" s="1"/>
      <c r="BN128" s="1"/>
      <c r="BO128" s="2895">
        <f t="shared" si="74"/>
        <v>0</v>
      </c>
    </row>
    <row r="129" spans="2:67" ht="14.25" thickBot="1">
      <c r="B129" s="769">
        <v>3</v>
      </c>
      <c r="C129" s="657" t="s">
        <v>1041</v>
      </c>
      <c r="D129" s="657"/>
      <c r="E129" s="657"/>
      <c r="F129" s="770"/>
      <c r="G129" s="3344"/>
      <c r="H129" s="3344"/>
      <c r="I129" s="2496" t="s">
        <v>2520</v>
      </c>
      <c r="J129" s="2466" t="s">
        <v>2523</v>
      </c>
      <c r="K129" s="2846" t="str">
        <f>計画書!G23</f>
        <v xml:space="preserve">[BEI][BEIm] = </v>
      </c>
      <c r="L129" s="3192">
        <f>計画書!H23</f>
        <v>0</v>
      </c>
      <c r="M129" s="3642"/>
      <c r="N129" s="3642"/>
      <c r="O129" s="3643"/>
      <c r="P129" s="3257">
        <v>3</v>
      </c>
      <c r="Q129" s="768" t="e">
        <f t="shared" si="65"/>
        <v>#DIV/0!</v>
      </c>
      <c r="R129" s="741" t="e">
        <f t="shared" si="83"/>
        <v>#DIV/0!</v>
      </c>
      <c r="S129" s="3251"/>
      <c r="T129" s="3251">
        <f t="shared" si="66"/>
        <v>0</v>
      </c>
      <c r="U129" s="661">
        <f t="shared" si="58"/>
        <v>0</v>
      </c>
      <c r="V129" s="662" t="e">
        <f>ROUNDDOWN(AE129,1)</f>
        <v>#DIV/0!</v>
      </c>
      <c r="W129" s="554"/>
      <c r="X129" s="689" t="e">
        <f>採点LR1!F47</f>
        <v>#DIV/0!</v>
      </c>
      <c r="Y129" s="3240"/>
      <c r="Z129" s="2445"/>
      <c r="AA129" s="3246" t="e">
        <f>IF($AA$3=4,P129,X129)</f>
        <v>#DIV/0!</v>
      </c>
      <c r="AB129" s="622" t="e">
        <f>重み!D129</f>
        <v>#DIV/0!</v>
      </c>
      <c r="AC129" s="3246">
        <f t="shared" si="103"/>
        <v>0</v>
      </c>
      <c r="AD129" s="622">
        <f>重み!E129</f>
        <v>0</v>
      </c>
      <c r="AE129" s="601" t="e">
        <f>IF(AC129=0,AA129,AA129*AG$6+AC129*AI$6)</f>
        <v>#DIV/0!</v>
      </c>
      <c r="AF129" s="554"/>
      <c r="AG129" s="582">
        <f>重み!M129</f>
        <v>0.5</v>
      </c>
      <c r="AH129" s="568"/>
      <c r="AI129" s="582">
        <f>重み!N129</f>
        <v>0</v>
      </c>
      <c r="AJ129" s="2445"/>
      <c r="AK129" s="3211"/>
      <c r="AL129" s="3211"/>
      <c r="AM129" s="3211"/>
      <c r="AN129" s="3211"/>
      <c r="AO129" s="3211"/>
      <c r="AP129" s="3211"/>
      <c r="AQ129" s="3211"/>
      <c r="AR129" s="3211"/>
      <c r="AS129" s="3211"/>
      <c r="AT129" s="3211"/>
      <c r="AU129" s="2385" t="e">
        <f t="shared" si="104"/>
        <v>#DIV/0!</v>
      </c>
      <c r="AV129" s="799" t="e">
        <f>R129</f>
        <v>#DIV/0!</v>
      </c>
      <c r="AW129" s="662"/>
      <c r="AX129" s="2359"/>
      <c r="AY129" s="2405" t="e">
        <f>X129</f>
        <v>#DIV/0!</v>
      </c>
      <c r="BA129" s="2383">
        <f>SUMPRODUCT($BB$7:$BK$7,BB129:BK129)</f>
        <v>0</v>
      </c>
      <c r="BB129" s="2369">
        <f t="shared" ref="BB129:BK129" si="108">IF(AK129&gt;0,1,0)</f>
        <v>0</v>
      </c>
      <c r="BC129" s="2369">
        <f t="shared" si="108"/>
        <v>0</v>
      </c>
      <c r="BD129" s="2369">
        <f t="shared" si="108"/>
        <v>0</v>
      </c>
      <c r="BE129" s="2369">
        <f t="shared" si="108"/>
        <v>0</v>
      </c>
      <c r="BF129" s="2369">
        <f t="shared" si="108"/>
        <v>0</v>
      </c>
      <c r="BG129" s="2369">
        <f t="shared" si="108"/>
        <v>0</v>
      </c>
      <c r="BH129" s="2369">
        <f t="shared" si="108"/>
        <v>0</v>
      </c>
      <c r="BI129" s="2369">
        <f t="shared" si="108"/>
        <v>0</v>
      </c>
      <c r="BJ129" s="2369">
        <f t="shared" si="108"/>
        <v>0</v>
      </c>
      <c r="BK129" s="2369">
        <f t="shared" si="108"/>
        <v>0</v>
      </c>
      <c r="BM129" s="1"/>
      <c r="BN129" s="1"/>
      <c r="BO129" s="2895"/>
    </row>
    <row r="130" spans="2:67" ht="14.25" hidden="1" thickBot="1">
      <c r="B130" s="771"/>
      <c r="C130" s="2075"/>
      <c r="D130" s="730" t="s">
        <v>2409</v>
      </c>
      <c r="E130" s="657"/>
      <c r="F130" s="2076"/>
      <c r="G130" s="3345" t="s">
        <v>4104</v>
      </c>
      <c r="H130" s="3346"/>
      <c r="I130" s="2896"/>
      <c r="J130" s="2897"/>
      <c r="K130" s="3614"/>
      <c r="L130" s="3615"/>
      <c r="M130" s="3615"/>
      <c r="N130" s="3615"/>
      <c r="O130" s="3616"/>
      <c r="P130" s="3197">
        <v>0</v>
      </c>
      <c r="Q130" s="637">
        <f t="shared" si="65"/>
        <v>0</v>
      </c>
      <c r="R130" s="3205">
        <f t="shared" si="83"/>
        <v>0</v>
      </c>
      <c r="S130" s="3233"/>
      <c r="T130" s="3233">
        <f t="shared" si="66"/>
        <v>0</v>
      </c>
      <c r="U130" s="3259">
        <f t="shared" si="58"/>
        <v>0</v>
      </c>
      <c r="V130" s="3206"/>
      <c r="W130" s="554"/>
      <c r="X130" s="689"/>
      <c r="Y130" s="3240"/>
      <c r="Z130" s="883"/>
      <c r="AA130" s="1"/>
      <c r="AB130" s="622">
        <f>重み!D130</f>
        <v>0</v>
      </c>
      <c r="AC130" s="1"/>
      <c r="AD130" s="622">
        <f>重み!F130</f>
        <v>0</v>
      </c>
      <c r="AE130" s="601"/>
      <c r="AF130" s="554"/>
      <c r="AG130" s="582">
        <f>重み!M130</f>
        <v>0.98425196850393704</v>
      </c>
      <c r="AH130" s="568"/>
      <c r="AI130" s="582">
        <f>重み!N130</f>
        <v>0</v>
      </c>
      <c r="AJ130" s="883"/>
      <c r="AK130" s="883"/>
      <c r="AL130" s="883"/>
      <c r="AM130" s="883"/>
      <c r="AN130" s="883"/>
      <c r="AO130" s="883"/>
      <c r="AP130" s="883"/>
      <c r="AQ130" s="883"/>
      <c r="AR130" s="883"/>
      <c r="AS130" s="883"/>
      <c r="AT130" s="883"/>
      <c r="AU130" s="883"/>
      <c r="BM130" s="1" t="s">
        <v>3303</v>
      </c>
      <c r="BN130" s="1">
        <f t="shared" ref="BN130:BN131" si="109">IF(AND(ISERROR(Q130)=FALSE,ISERROR(R130)=FALSE,ISERROR(T130)=FALSE,ISERROR(U130)=FALSE),IF(OR(AND(Q130&gt;3,R130&gt;0),AND(T130&gt;3,U130&gt;0)),MAX(Q130,T130),0),0)</f>
        <v>0</v>
      </c>
      <c r="BO130" s="2895" t="str">
        <f t="shared" ref="BO130:BO131" si="110">IF(K130=0,"",K130)</f>
        <v/>
      </c>
    </row>
    <row r="131" spans="2:67" ht="14.25" hidden="1" thickBot="1">
      <c r="B131" s="771"/>
      <c r="C131" s="2075"/>
      <c r="D131" s="730" t="s">
        <v>2410</v>
      </c>
      <c r="E131" s="657"/>
      <c r="F131" s="2076"/>
      <c r="G131" s="3346"/>
      <c r="H131" s="3325" t="s">
        <v>4104</v>
      </c>
      <c r="I131" s="2898"/>
      <c r="J131" s="2897"/>
      <c r="K131" s="3614"/>
      <c r="L131" s="3615"/>
      <c r="M131" s="3615"/>
      <c r="N131" s="3615"/>
      <c r="O131" s="3616"/>
      <c r="P131" s="3215">
        <v>0</v>
      </c>
      <c r="Q131" s="644">
        <f t="shared" si="65"/>
        <v>0</v>
      </c>
      <c r="R131" s="3205">
        <f t="shared" si="83"/>
        <v>0</v>
      </c>
      <c r="S131" s="3233"/>
      <c r="T131" s="3233">
        <f t="shared" si="66"/>
        <v>0</v>
      </c>
      <c r="U131" s="3259">
        <f t="shared" si="58"/>
        <v>0</v>
      </c>
      <c r="V131" s="3206"/>
      <c r="W131" s="554"/>
      <c r="X131" s="695"/>
      <c r="Y131" s="3240"/>
      <c r="Z131" s="883"/>
      <c r="AA131" s="1"/>
      <c r="AB131" s="622">
        <f>重み!D131</f>
        <v>0</v>
      </c>
      <c r="AC131" s="1"/>
      <c r="AD131" s="622">
        <f>重み!F131</f>
        <v>0</v>
      </c>
      <c r="AE131" s="601"/>
      <c r="AF131" s="554"/>
      <c r="AG131" s="582">
        <f>重み!M131</f>
        <v>1.5748031496062992E-2</v>
      </c>
      <c r="AH131" s="568"/>
      <c r="AI131" s="582">
        <f>重み!N131</f>
        <v>0</v>
      </c>
      <c r="AJ131" s="883"/>
      <c r="AK131" s="883"/>
      <c r="AL131" s="883"/>
      <c r="AM131" s="883"/>
      <c r="AN131" s="883"/>
      <c r="AO131" s="883"/>
      <c r="AP131" s="883"/>
      <c r="AQ131" s="883"/>
      <c r="AR131" s="883"/>
      <c r="AS131" s="883"/>
      <c r="AT131" s="883"/>
      <c r="AU131" s="883"/>
      <c r="BM131" s="1" t="s">
        <v>3303</v>
      </c>
      <c r="BN131" s="1">
        <f t="shared" si="109"/>
        <v>0</v>
      </c>
      <c r="BO131" s="2895" t="str">
        <f t="shared" si="110"/>
        <v/>
      </c>
    </row>
    <row r="132" spans="2:67" ht="14.25" hidden="1" thickBot="1">
      <c r="B132" s="777"/>
      <c r="C132" s="778">
        <v>3.1</v>
      </c>
      <c r="D132" s="776" t="s">
        <v>1042</v>
      </c>
      <c r="E132" s="683"/>
      <c r="F132" s="684"/>
      <c r="G132" s="3347"/>
      <c r="H132" s="3347"/>
      <c r="I132" s="2459"/>
      <c r="J132" s="2460"/>
      <c r="K132" s="3614"/>
      <c r="L132" s="3615"/>
      <c r="M132" s="3615"/>
      <c r="N132" s="3615"/>
      <c r="O132" s="3641"/>
      <c r="P132" s="3197">
        <v>0</v>
      </c>
      <c r="Q132" s="637">
        <f t="shared" si="65"/>
        <v>0</v>
      </c>
      <c r="R132" s="3205">
        <f t="shared" si="83"/>
        <v>0</v>
      </c>
      <c r="S132" s="3233"/>
      <c r="T132" s="3233">
        <f t="shared" si="66"/>
        <v>0</v>
      </c>
      <c r="U132" s="3259">
        <f t="shared" si="58"/>
        <v>0</v>
      </c>
      <c r="V132" s="3206"/>
      <c r="W132" s="554"/>
      <c r="X132" s="689">
        <f>採点LR1!F76</f>
        <v>0</v>
      </c>
      <c r="Y132" s="3240"/>
      <c r="Z132" s="883"/>
      <c r="AA132" s="1"/>
      <c r="AB132" s="622">
        <f>重み!D132</f>
        <v>0</v>
      </c>
      <c r="AC132" s="1"/>
      <c r="AD132" s="622">
        <f>重み!E132</f>
        <v>0</v>
      </c>
      <c r="AE132" s="601"/>
      <c r="AF132" s="554"/>
      <c r="AG132" s="582">
        <f>重み!M132</f>
        <v>0</v>
      </c>
      <c r="AH132" s="568"/>
      <c r="AI132" s="582">
        <f>重み!N132</f>
        <v>0</v>
      </c>
      <c r="AJ132" s="883"/>
      <c r="AK132" s="883"/>
      <c r="AL132" s="883"/>
      <c r="AM132" s="883"/>
      <c r="AN132" s="883"/>
      <c r="AO132" s="883"/>
      <c r="AP132" s="883"/>
      <c r="AQ132" s="883"/>
      <c r="AR132" s="883"/>
      <c r="AS132" s="883"/>
      <c r="AT132" s="883"/>
      <c r="AU132" s="883"/>
      <c r="BM132" s="1"/>
      <c r="BN132" s="1"/>
      <c r="BO132" s="2895">
        <f t="shared" si="74"/>
        <v>0</v>
      </c>
    </row>
    <row r="133" spans="2:67" ht="14.25" hidden="1" thickBot="1">
      <c r="B133" s="777"/>
      <c r="C133" s="778">
        <v>3.2</v>
      </c>
      <c r="D133" s="776" t="s">
        <v>1043</v>
      </c>
      <c r="E133" s="683"/>
      <c r="F133" s="684"/>
      <c r="G133" s="3347"/>
      <c r="H133" s="3347"/>
      <c r="I133" s="2459"/>
      <c r="J133" s="2460"/>
      <c r="K133" s="3614"/>
      <c r="L133" s="3615"/>
      <c r="M133" s="3615"/>
      <c r="N133" s="3615"/>
      <c r="O133" s="3641"/>
      <c r="P133" s="3198">
        <v>0</v>
      </c>
      <c r="Q133" s="651">
        <f t="shared" si="65"/>
        <v>0</v>
      </c>
      <c r="R133" s="3205">
        <f t="shared" si="83"/>
        <v>0</v>
      </c>
      <c r="S133" s="3260"/>
      <c r="T133" s="3233">
        <f t="shared" si="66"/>
        <v>0</v>
      </c>
      <c r="U133" s="3259">
        <f t="shared" si="58"/>
        <v>0</v>
      </c>
      <c r="V133" s="3206"/>
      <c r="W133" s="554"/>
      <c r="X133" s="3261"/>
      <c r="Y133" s="3261"/>
      <c r="Z133" s="883"/>
      <c r="AA133" s="1"/>
      <c r="AB133" s="622">
        <f>重み!D133</f>
        <v>0</v>
      </c>
      <c r="AC133" s="1"/>
      <c r="AD133" s="622">
        <f>重み!E133</f>
        <v>0</v>
      </c>
      <c r="AE133" s="601"/>
      <c r="AF133" s="554"/>
      <c r="AG133" s="582">
        <f>重み!M133</f>
        <v>0</v>
      </c>
      <c r="AH133" s="568"/>
      <c r="AI133" s="582">
        <f>重み!N133</f>
        <v>0</v>
      </c>
      <c r="AJ133" s="883"/>
      <c r="AK133" s="883"/>
      <c r="AL133" s="883"/>
      <c r="AM133" s="883"/>
      <c r="AN133" s="883"/>
      <c r="AO133" s="883"/>
      <c r="AP133" s="883"/>
      <c r="AQ133" s="883"/>
      <c r="AR133" s="883"/>
      <c r="AS133" s="883"/>
      <c r="AT133" s="883"/>
      <c r="AU133" s="883"/>
      <c r="BM133" s="1"/>
      <c r="BN133" s="1"/>
      <c r="BO133" s="2895">
        <f t="shared" si="74"/>
        <v>0</v>
      </c>
    </row>
    <row r="134" spans="2:67" ht="14.25" hidden="1" thickBot="1">
      <c r="B134" s="777"/>
      <c r="C134" s="778">
        <v>3.3</v>
      </c>
      <c r="D134" s="776" t="s">
        <v>1044</v>
      </c>
      <c r="E134" s="683"/>
      <c r="F134" s="684"/>
      <c r="G134" s="3347"/>
      <c r="H134" s="3347"/>
      <c r="I134" s="2459"/>
      <c r="J134" s="2460"/>
      <c r="K134" s="3614"/>
      <c r="L134" s="3615"/>
      <c r="M134" s="3615"/>
      <c r="N134" s="3615"/>
      <c r="O134" s="3641"/>
      <c r="P134" s="3198">
        <v>0</v>
      </c>
      <c r="Q134" s="651">
        <f t="shared" si="65"/>
        <v>0</v>
      </c>
      <c r="R134" s="3205">
        <f t="shared" si="83"/>
        <v>0</v>
      </c>
      <c r="S134" s="3260"/>
      <c r="T134" s="3233">
        <f t="shared" si="66"/>
        <v>0</v>
      </c>
      <c r="U134" s="3259">
        <f t="shared" si="58"/>
        <v>0</v>
      </c>
      <c r="V134" s="3206"/>
      <c r="W134" s="554"/>
      <c r="X134" s="695">
        <f>採点LR1!F87</f>
        <v>0</v>
      </c>
      <c r="Y134" s="3261"/>
      <c r="Z134" s="883"/>
      <c r="AA134" s="1"/>
      <c r="AB134" s="622">
        <f>重み!D134</f>
        <v>0</v>
      </c>
      <c r="AC134" s="1"/>
      <c r="AD134" s="622">
        <f>重み!E134</f>
        <v>0</v>
      </c>
      <c r="AE134" s="601"/>
      <c r="AF134" s="554"/>
      <c r="AG134" s="582">
        <f>重み!M134</f>
        <v>0</v>
      </c>
      <c r="AH134" s="568"/>
      <c r="AI134" s="582">
        <f>重み!N134</f>
        <v>0</v>
      </c>
      <c r="AJ134" s="883"/>
      <c r="AK134" s="883"/>
      <c r="AL134" s="883"/>
      <c r="AM134" s="883"/>
      <c r="AN134" s="883"/>
      <c r="AO134" s="883"/>
      <c r="AP134" s="883"/>
      <c r="AQ134" s="883"/>
      <c r="AR134" s="883"/>
      <c r="AS134" s="883"/>
      <c r="AT134" s="883"/>
      <c r="AU134" s="883"/>
      <c r="BM134" s="1"/>
      <c r="BN134" s="1"/>
      <c r="BO134" s="2895">
        <f t="shared" si="74"/>
        <v>0</v>
      </c>
    </row>
    <row r="135" spans="2:67" ht="14.25" hidden="1" thickBot="1">
      <c r="B135" s="777"/>
      <c r="C135" s="778">
        <v>3.4</v>
      </c>
      <c r="D135" s="776" t="s">
        <v>1045</v>
      </c>
      <c r="E135" s="683"/>
      <c r="F135" s="684"/>
      <c r="G135" s="3347"/>
      <c r="H135" s="3347"/>
      <c r="I135" s="2459"/>
      <c r="J135" s="2460"/>
      <c r="K135" s="3614"/>
      <c r="L135" s="3615"/>
      <c r="M135" s="3615"/>
      <c r="N135" s="3615"/>
      <c r="O135" s="3641"/>
      <c r="P135" s="3198">
        <v>0</v>
      </c>
      <c r="Q135" s="651">
        <f t="shared" si="65"/>
        <v>0</v>
      </c>
      <c r="R135" s="3205">
        <f t="shared" si="83"/>
        <v>0</v>
      </c>
      <c r="S135" s="3260"/>
      <c r="T135" s="3233">
        <f t="shared" si="66"/>
        <v>0</v>
      </c>
      <c r="U135" s="3259">
        <f t="shared" si="58"/>
        <v>0</v>
      </c>
      <c r="V135" s="3206"/>
      <c r="W135" s="554"/>
      <c r="X135" s="3201"/>
      <c r="Y135" s="3240"/>
      <c r="Z135" s="883"/>
      <c r="AA135" s="1"/>
      <c r="AB135" s="622">
        <f>重み!D135</f>
        <v>0</v>
      </c>
      <c r="AC135" s="1"/>
      <c r="AD135" s="622">
        <f>重み!E135</f>
        <v>0</v>
      </c>
      <c r="AE135" s="601"/>
      <c r="AF135" s="554"/>
      <c r="AG135" s="582">
        <f>重み!M135</f>
        <v>0</v>
      </c>
      <c r="AH135" s="568"/>
      <c r="AI135" s="582">
        <f>重み!N135</f>
        <v>0</v>
      </c>
      <c r="AJ135" s="883"/>
      <c r="AK135" s="883"/>
      <c r="AL135" s="883"/>
      <c r="AM135" s="883"/>
      <c r="AN135" s="883"/>
      <c r="AO135" s="883"/>
      <c r="AP135" s="883"/>
      <c r="AQ135" s="883"/>
      <c r="AR135" s="883"/>
      <c r="AS135" s="883"/>
      <c r="AT135" s="883"/>
      <c r="AU135" s="883"/>
      <c r="BM135" s="1"/>
      <c r="BN135" s="1"/>
      <c r="BO135" s="2895">
        <f t="shared" si="74"/>
        <v>0</v>
      </c>
    </row>
    <row r="136" spans="2:67" ht="14.25" hidden="1" thickBot="1">
      <c r="B136" s="777"/>
      <c r="C136" s="778">
        <v>3.5</v>
      </c>
      <c r="D136" s="776" t="s">
        <v>1046</v>
      </c>
      <c r="E136" s="683"/>
      <c r="F136" s="684"/>
      <c r="G136" s="3347"/>
      <c r="H136" s="3347"/>
      <c r="I136" s="2459"/>
      <c r="J136" s="2460"/>
      <c r="K136" s="3614"/>
      <c r="L136" s="3615"/>
      <c r="M136" s="3615"/>
      <c r="N136" s="3615"/>
      <c r="O136" s="3641"/>
      <c r="P136" s="3198">
        <v>0</v>
      </c>
      <c r="Q136" s="651">
        <f t="shared" si="65"/>
        <v>0</v>
      </c>
      <c r="R136" s="3262">
        <f t="shared" si="83"/>
        <v>0</v>
      </c>
      <c r="S136" s="3260"/>
      <c r="T136" s="3233">
        <f t="shared" si="66"/>
        <v>0</v>
      </c>
      <c r="U136" s="3259">
        <f t="shared" si="58"/>
        <v>0</v>
      </c>
      <c r="V136" s="3206"/>
      <c r="W136" s="554"/>
      <c r="X136" s="3204"/>
      <c r="Y136" s="3240"/>
      <c r="Z136" s="883"/>
      <c r="AA136" s="1"/>
      <c r="AB136" s="622">
        <f>重み!D136</f>
        <v>0</v>
      </c>
      <c r="AC136" s="1"/>
      <c r="AD136" s="622">
        <f>重み!E136</f>
        <v>0</v>
      </c>
      <c r="AE136" s="601"/>
      <c r="AF136" s="554"/>
      <c r="AG136" s="582">
        <f>重み!M136</f>
        <v>0</v>
      </c>
      <c r="AH136" s="568"/>
      <c r="AI136" s="582">
        <f>重み!N136</f>
        <v>0</v>
      </c>
      <c r="AJ136" s="883"/>
      <c r="AK136" s="883"/>
      <c r="AL136" s="883"/>
      <c r="AM136" s="883"/>
      <c r="AN136" s="883"/>
      <c r="AO136" s="883"/>
      <c r="AP136" s="883"/>
      <c r="AQ136" s="883"/>
      <c r="AR136" s="883"/>
      <c r="AS136" s="883"/>
      <c r="AT136" s="883"/>
      <c r="AU136" s="883"/>
      <c r="BM136" s="1"/>
      <c r="BN136" s="1"/>
      <c r="BO136" s="2895">
        <f t="shared" si="74"/>
        <v>0</v>
      </c>
    </row>
    <row r="137" spans="2:67" ht="14.25" hidden="1" thickBot="1">
      <c r="B137" s="779"/>
      <c r="C137" s="778">
        <v>3.6</v>
      </c>
      <c r="D137" s="776" t="s">
        <v>1581</v>
      </c>
      <c r="E137" s="683"/>
      <c r="F137" s="684"/>
      <c r="G137" s="3347"/>
      <c r="H137" s="3347"/>
      <c r="I137" s="2459"/>
      <c r="J137" s="2460"/>
      <c r="K137" s="3614"/>
      <c r="L137" s="3615"/>
      <c r="M137" s="3615"/>
      <c r="N137" s="3615"/>
      <c r="O137" s="3641"/>
      <c r="P137" s="3215">
        <v>0</v>
      </c>
      <c r="Q137" s="644">
        <f t="shared" si="65"/>
        <v>0</v>
      </c>
      <c r="R137" s="3263">
        <f t="shared" si="83"/>
        <v>0</v>
      </c>
      <c r="S137" s="3230"/>
      <c r="T137" s="3264">
        <f t="shared" si="66"/>
        <v>0</v>
      </c>
      <c r="U137" s="3259">
        <f t="shared" si="58"/>
        <v>0</v>
      </c>
      <c r="V137" s="3206"/>
      <c r="W137" s="554"/>
      <c r="X137" s="780"/>
      <c r="Y137" s="3261"/>
      <c r="Z137" s="883"/>
      <c r="AA137" s="1"/>
      <c r="AB137" s="622">
        <f>重み!D137</f>
        <v>0</v>
      </c>
      <c r="AC137" s="1"/>
      <c r="AD137" s="622">
        <f>重み!E137</f>
        <v>0</v>
      </c>
      <c r="AE137" s="601"/>
      <c r="AF137" s="554"/>
      <c r="AG137" s="582">
        <f>重み!M137</f>
        <v>0</v>
      </c>
      <c r="AH137" s="568"/>
      <c r="AI137" s="582">
        <f>重み!N137</f>
        <v>0</v>
      </c>
      <c r="AJ137" s="883"/>
      <c r="AK137" s="883"/>
      <c r="AL137" s="883"/>
      <c r="AM137" s="883"/>
      <c r="AN137" s="883"/>
      <c r="AO137" s="883"/>
      <c r="AP137" s="883"/>
      <c r="AQ137" s="883"/>
      <c r="AR137" s="883"/>
      <c r="AS137" s="883"/>
      <c r="AT137" s="883"/>
      <c r="AU137" s="883"/>
      <c r="BM137" s="1"/>
      <c r="BN137" s="1"/>
      <c r="BO137" s="2895">
        <f t="shared" si="74"/>
        <v>0</v>
      </c>
    </row>
    <row r="138" spans="2:67">
      <c r="B138" s="769">
        <v>4</v>
      </c>
      <c r="C138" s="657" t="s">
        <v>1047</v>
      </c>
      <c r="D138" s="614"/>
      <c r="E138" s="614"/>
      <c r="F138" s="616"/>
      <c r="G138" s="3344"/>
      <c r="H138" s="3344"/>
      <c r="I138" s="2461"/>
      <c r="J138" s="2462"/>
      <c r="K138" s="2845"/>
      <c r="L138" s="2846"/>
      <c r="M138" s="2846"/>
      <c r="N138" s="2846"/>
      <c r="O138" s="2865"/>
      <c r="P138" s="3241">
        <f t="shared" ref="P138:P139" si="111">ROUNDDOWN(AA138,1)</f>
        <v>3</v>
      </c>
      <c r="Q138" s="2252">
        <f t="shared" si="65"/>
        <v>3</v>
      </c>
      <c r="R138" s="660" t="e">
        <f t="shared" si="83"/>
        <v>#DIV/0!</v>
      </c>
      <c r="S138" s="3265">
        <f t="shared" ref="S138:S139" si="112">ROUNDDOWN(AC138,1)</f>
        <v>0</v>
      </c>
      <c r="T138" s="3251">
        <f t="shared" si="66"/>
        <v>0</v>
      </c>
      <c r="U138" s="661">
        <f t="shared" ref="U138:U189" si="113">AD138</f>
        <v>0</v>
      </c>
      <c r="V138" s="662">
        <f>ROUNDDOWN(AE138,1)</f>
        <v>3</v>
      </c>
      <c r="W138" s="554"/>
      <c r="X138" s="728"/>
      <c r="Y138" s="3240"/>
      <c r="Z138" s="2445"/>
      <c r="AA138" s="3202">
        <f>AA139*AB139+AA142*AB142</f>
        <v>3</v>
      </c>
      <c r="AB138" s="622" t="e">
        <f>重み!D138</f>
        <v>#DIV/0!</v>
      </c>
      <c r="AC138" s="3202">
        <f>AC139*AD139+AC142*AD142</f>
        <v>0</v>
      </c>
      <c r="AD138" s="623">
        <f>SUM(AD139,AD142)</f>
        <v>0</v>
      </c>
      <c r="AE138" s="601">
        <f>IF(AC138=0,AA138,AA138*AG$6+AC138*AI$6)</f>
        <v>3</v>
      </c>
      <c r="AF138" s="554"/>
      <c r="AG138" s="582">
        <f>重み!M138</f>
        <v>0.2</v>
      </c>
      <c r="AH138" s="568"/>
      <c r="AI138" s="623">
        <f>SUM(AI139,AI142)</f>
        <v>0</v>
      </c>
      <c r="AJ138" s="2445"/>
      <c r="AK138" s="3211">
        <v>3</v>
      </c>
      <c r="AL138" s="3211"/>
      <c r="AM138" s="3211"/>
      <c r="AN138" s="3211"/>
      <c r="AO138" s="3211"/>
      <c r="AP138" s="3211">
        <v>3</v>
      </c>
      <c r="AQ138" s="3211"/>
      <c r="AR138" s="3211"/>
      <c r="AS138" s="3211"/>
      <c r="AT138" s="3211"/>
      <c r="AU138" s="2385">
        <f t="shared" si="104"/>
        <v>3</v>
      </c>
      <c r="AV138" s="799" t="e">
        <f>R138</f>
        <v>#DIV/0!</v>
      </c>
      <c r="AW138" s="662"/>
      <c r="AX138" s="2359"/>
      <c r="AY138" s="2384">
        <f>SUMPRODUCT($BB$7:$BK$7,AK138:AT138)/BA138</f>
        <v>3</v>
      </c>
      <c r="BA138" s="2383">
        <f>SUMPRODUCT($BB$7:$BK$7,BB138:BK138)</f>
        <v>0.98425196850393704</v>
      </c>
      <c r="BB138" s="2369">
        <f t="shared" ref="BB138:BK138" si="114">IF(AK138&gt;0,1,0)</f>
        <v>1</v>
      </c>
      <c r="BC138" s="2369">
        <f t="shared" si="114"/>
        <v>0</v>
      </c>
      <c r="BD138" s="2369">
        <f t="shared" si="114"/>
        <v>0</v>
      </c>
      <c r="BE138" s="2369">
        <f t="shared" si="114"/>
        <v>0</v>
      </c>
      <c r="BF138" s="2369">
        <f t="shared" si="114"/>
        <v>0</v>
      </c>
      <c r="BG138" s="2369">
        <f t="shared" si="114"/>
        <v>1</v>
      </c>
      <c r="BH138" s="2369">
        <f t="shared" si="114"/>
        <v>0</v>
      </c>
      <c r="BI138" s="2369">
        <f t="shared" si="114"/>
        <v>0</v>
      </c>
      <c r="BJ138" s="2369">
        <f t="shared" si="114"/>
        <v>0</v>
      </c>
      <c r="BK138" s="2369">
        <f t="shared" si="114"/>
        <v>0</v>
      </c>
      <c r="BM138" s="1"/>
      <c r="BN138" s="1"/>
      <c r="BO138" s="2895"/>
    </row>
    <row r="139" spans="2:67" ht="14.25" thickBot="1">
      <c r="B139" s="679"/>
      <c r="C139" s="647"/>
      <c r="D139" s="663" t="s">
        <v>833</v>
      </c>
      <c r="E139" s="627"/>
      <c r="F139" s="665"/>
      <c r="G139" s="3346"/>
      <c r="H139" s="3346"/>
      <c r="I139" s="2459"/>
      <c r="J139" s="2460"/>
      <c r="K139" s="2842"/>
      <c r="L139" s="2843"/>
      <c r="M139" s="2843"/>
      <c r="N139" s="2843"/>
      <c r="O139" s="2844"/>
      <c r="P139" s="3266">
        <f t="shared" si="111"/>
        <v>3</v>
      </c>
      <c r="Q139" s="680">
        <f t="shared" si="65"/>
        <v>3</v>
      </c>
      <c r="R139" s="618">
        <f t="shared" si="83"/>
        <v>0.98425196850393704</v>
      </c>
      <c r="S139" s="3230">
        <f t="shared" si="112"/>
        <v>0</v>
      </c>
      <c r="T139" s="3264">
        <f t="shared" si="66"/>
        <v>0</v>
      </c>
      <c r="U139" s="619">
        <f t="shared" si="113"/>
        <v>0</v>
      </c>
      <c r="V139" s="620"/>
      <c r="W139" s="554"/>
      <c r="X139" s="728"/>
      <c r="Y139" s="3240"/>
      <c r="Z139" s="2445"/>
      <c r="AA139" s="621">
        <f>SUMPRODUCT(AA140:AA141,AB140:AB141)</f>
        <v>3</v>
      </c>
      <c r="AB139" s="622">
        <f>重み!D139</f>
        <v>0.98425196850393704</v>
      </c>
      <c r="AC139" s="621">
        <f>SUMPRODUCT(AC140:AC141,AD140:AD141)</f>
        <v>0</v>
      </c>
      <c r="AD139" s="622">
        <f>重み!E139</f>
        <v>0</v>
      </c>
      <c r="AE139" s="601"/>
      <c r="AF139" s="554"/>
      <c r="AG139" s="582">
        <f>重み!M139</f>
        <v>0.98425196850393704</v>
      </c>
      <c r="AH139" s="568"/>
      <c r="AI139" s="582">
        <f>重み!N139</f>
        <v>0</v>
      </c>
      <c r="AJ139" s="2445"/>
      <c r="AK139" s="2445"/>
      <c r="AL139" s="2445"/>
      <c r="AM139" s="2445"/>
      <c r="AN139" s="2445"/>
      <c r="AO139" s="2445"/>
      <c r="AP139" s="2445"/>
      <c r="AQ139" s="2445"/>
      <c r="AR139" s="2445"/>
      <c r="AS139" s="2445"/>
      <c r="AT139" s="2445"/>
      <c r="AU139" s="2445"/>
      <c r="BM139" s="1"/>
      <c r="BN139" s="1"/>
      <c r="BO139" s="2895"/>
    </row>
    <row r="140" spans="2:67">
      <c r="B140" s="679"/>
      <c r="C140" s="784"/>
      <c r="D140" s="634">
        <v>4.0999999999999996</v>
      </c>
      <c r="E140" s="628" t="s">
        <v>823</v>
      </c>
      <c r="F140" s="670"/>
      <c r="G140" s="3342" t="s">
        <v>4105</v>
      </c>
      <c r="H140" s="3346"/>
      <c r="I140" s="2459"/>
      <c r="J140" s="2460"/>
      <c r="K140" s="3614"/>
      <c r="L140" s="3615"/>
      <c r="M140" s="3615"/>
      <c r="N140" s="3615"/>
      <c r="O140" s="3616"/>
      <c r="P140" s="3197">
        <v>3</v>
      </c>
      <c r="Q140" s="637">
        <f t="shared" si="65"/>
        <v>3</v>
      </c>
      <c r="R140" s="714">
        <f t="shared" si="83"/>
        <v>0.5</v>
      </c>
      <c r="S140" s="3232"/>
      <c r="T140" s="3260">
        <f t="shared" si="66"/>
        <v>0</v>
      </c>
      <c r="U140" s="619">
        <f t="shared" si="113"/>
        <v>0</v>
      </c>
      <c r="V140" s="620"/>
      <c r="W140" s="554"/>
      <c r="X140" s="689">
        <f>採点LR1!F112</f>
        <v>3</v>
      </c>
      <c r="Y140" s="3261"/>
      <c r="Z140" s="2445"/>
      <c r="AA140" s="641">
        <f t="shared" ref="AA140:AA141" si="115">IF($AA$3=4,P140,X140)</f>
        <v>3</v>
      </c>
      <c r="AB140" s="622">
        <f>重み!D140</f>
        <v>0.5</v>
      </c>
      <c r="AC140" s="641">
        <f t="shared" ref="AC140:AC141" si="116">IF($AA$3=4,S140,Y140)</f>
        <v>0</v>
      </c>
      <c r="AD140" s="622">
        <f>重み!E140</f>
        <v>0</v>
      </c>
      <c r="AE140" s="601"/>
      <c r="AF140" s="554"/>
      <c r="AG140" s="582">
        <f>重み!M140</f>
        <v>0.49212598425196852</v>
      </c>
      <c r="AH140" s="568"/>
      <c r="AI140" s="582"/>
      <c r="AJ140" s="2445"/>
      <c r="AK140" s="2445"/>
      <c r="AL140" s="2445"/>
      <c r="AM140" s="2445"/>
      <c r="AN140" s="2445"/>
      <c r="AO140" s="2445"/>
      <c r="AP140" s="2445"/>
      <c r="AQ140" s="2445"/>
      <c r="AR140" s="2445"/>
      <c r="AS140" s="2445"/>
      <c r="AT140" s="2445"/>
      <c r="AU140" s="2445"/>
      <c r="BM140" s="1" t="s">
        <v>3304</v>
      </c>
      <c r="BN140" s="1">
        <f t="shared" ref="BN140:BN141" si="117">IF(AND(ISERROR(Q140)=FALSE,ISERROR(R140)=FALSE,ISERROR(T140)=FALSE,ISERROR(U140)=FALSE),IF(OR(AND(Q140&gt;3,R140&gt;0),AND(T140&gt;3,U140&gt;0)),MAX(Q140,T140),0),0)</f>
        <v>0</v>
      </c>
      <c r="BO140" s="2895" t="str">
        <f t="shared" ref="BO140:BO141" si="118">IF(K140=0,"",K140)</f>
        <v/>
      </c>
    </row>
    <row r="141" spans="2:67" ht="14.25" thickBot="1">
      <c r="B141" s="679"/>
      <c r="C141" s="785"/>
      <c r="D141" s="634">
        <v>4.2</v>
      </c>
      <c r="E141" s="628" t="s">
        <v>828</v>
      </c>
      <c r="F141" s="670"/>
      <c r="G141" s="3342" t="s">
        <v>4105</v>
      </c>
      <c r="H141" s="3346"/>
      <c r="I141" s="2459"/>
      <c r="J141" s="2460"/>
      <c r="K141" s="3614"/>
      <c r="L141" s="3615"/>
      <c r="M141" s="3615"/>
      <c r="N141" s="3615"/>
      <c r="O141" s="3616"/>
      <c r="P141" s="3215">
        <v>3</v>
      </c>
      <c r="Q141" s="644">
        <f t="shared" si="65"/>
        <v>3</v>
      </c>
      <c r="R141" s="714">
        <f t="shared" si="83"/>
        <v>0.5</v>
      </c>
      <c r="S141" s="3232"/>
      <c r="T141" s="3260">
        <f t="shared" si="66"/>
        <v>0</v>
      </c>
      <c r="U141" s="619">
        <f t="shared" si="113"/>
        <v>0</v>
      </c>
      <c r="V141" s="620"/>
      <c r="W141" s="554"/>
      <c r="X141" s="695">
        <f>採点LR1!F142</f>
        <v>3</v>
      </c>
      <c r="Y141" s="3261"/>
      <c r="Z141" s="2445"/>
      <c r="AA141" s="641">
        <f t="shared" si="115"/>
        <v>3</v>
      </c>
      <c r="AB141" s="622">
        <f>重み!D141</f>
        <v>0.5</v>
      </c>
      <c r="AC141" s="641">
        <f t="shared" si="116"/>
        <v>0</v>
      </c>
      <c r="AD141" s="622">
        <f>重み!E141</f>
        <v>0</v>
      </c>
      <c r="AE141" s="601"/>
      <c r="AF141" s="554"/>
      <c r="AG141" s="582">
        <f>重み!M141</f>
        <v>0.49212598425196852</v>
      </c>
      <c r="AH141" s="568"/>
      <c r="AI141" s="582"/>
      <c r="AJ141" s="2445"/>
      <c r="AK141" s="2445"/>
      <c r="AL141" s="2445"/>
      <c r="AM141" s="2445"/>
      <c r="AN141" s="2445"/>
      <c r="AO141" s="2445"/>
      <c r="AP141" s="2445"/>
      <c r="AQ141" s="2445"/>
      <c r="AR141" s="2445"/>
      <c r="AS141" s="2445"/>
      <c r="AT141" s="2445"/>
      <c r="AU141" s="2445"/>
      <c r="BM141" s="1" t="s">
        <v>3305</v>
      </c>
      <c r="BN141" s="1">
        <f t="shared" si="117"/>
        <v>0</v>
      </c>
      <c r="BO141" s="2895" t="str">
        <f t="shared" si="118"/>
        <v/>
      </c>
    </row>
    <row r="142" spans="2:67" ht="14.25" thickBot="1">
      <c r="B142" s="679"/>
      <c r="C142" s="647"/>
      <c r="D142" s="663" t="s">
        <v>834</v>
      </c>
      <c r="E142" s="627"/>
      <c r="F142" s="665"/>
      <c r="G142" s="3348"/>
      <c r="H142" s="3348"/>
      <c r="I142" s="2459"/>
      <c r="J142" s="2460"/>
      <c r="K142" s="2842"/>
      <c r="L142" s="2843"/>
      <c r="M142" s="2843"/>
      <c r="N142" s="2843"/>
      <c r="O142" s="2844"/>
      <c r="P142" s="680">
        <f>ROUNDDOWN(AA142,1)</f>
        <v>3</v>
      </c>
      <c r="Q142" s="680">
        <f t="shared" si="65"/>
        <v>3</v>
      </c>
      <c r="R142" s="618">
        <f>AB142</f>
        <v>1.5748031496062992E-2</v>
      </c>
      <c r="S142" s="3230">
        <f>ROUNDDOWN(AC142,1)</f>
        <v>0</v>
      </c>
      <c r="T142" s="3264">
        <f t="shared" si="66"/>
        <v>0</v>
      </c>
      <c r="U142" s="619">
        <f t="shared" si="113"/>
        <v>0</v>
      </c>
      <c r="V142" s="620"/>
      <c r="W142" s="554"/>
      <c r="X142" s="728"/>
      <c r="Y142" s="3240"/>
      <c r="Z142" s="2445"/>
      <c r="AA142" s="621">
        <f>SUMPRODUCT(AA143:AA144,AB143:AB144)</f>
        <v>3</v>
      </c>
      <c r="AB142" s="622">
        <f>重み!D142</f>
        <v>1.5748031496062992E-2</v>
      </c>
      <c r="AC142" s="621">
        <f>SUMPRODUCT(AC143:AC144,AD143:AD144)</f>
        <v>0</v>
      </c>
      <c r="AD142" s="622">
        <f>重み!E142</f>
        <v>0</v>
      </c>
      <c r="AE142" s="601"/>
      <c r="AF142" s="554"/>
      <c r="AG142" s="582">
        <f>重み!M142</f>
        <v>1.5748031496062992E-2</v>
      </c>
      <c r="AH142" s="568"/>
      <c r="AI142" s="582">
        <f>重み!N142</f>
        <v>0</v>
      </c>
      <c r="AJ142" s="2445"/>
      <c r="AK142" s="2445"/>
      <c r="AL142" s="2445"/>
      <c r="AM142" s="2445"/>
      <c r="AN142" s="2445"/>
      <c r="AO142" s="2445"/>
      <c r="AP142" s="2445"/>
      <c r="AQ142" s="2445"/>
      <c r="AR142" s="2445"/>
      <c r="AS142" s="2445"/>
      <c r="AT142" s="2445"/>
      <c r="AU142" s="2445"/>
      <c r="BM142" s="1"/>
      <c r="BN142" s="1"/>
      <c r="BO142" s="2895"/>
    </row>
    <row r="143" spans="2:67">
      <c r="B143" s="679"/>
      <c r="C143" s="784"/>
      <c r="D143" s="634">
        <v>4.0999999999999996</v>
      </c>
      <c r="E143" s="628" t="s">
        <v>823</v>
      </c>
      <c r="F143" s="670"/>
      <c r="G143" s="3348"/>
      <c r="H143" s="3342" t="s">
        <v>4105</v>
      </c>
      <c r="I143" s="2459"/>
      <c r="J143" s="2460"/>
      <c r="K143" s="3614"/>
      <c r="L143" s="3615"/>
      <c r="M143" s="3615"/>
      <c r="N143" s="3615"/>
      <c r="O143" s="3616"/>
      <c r="P143" s="3197">
        <v>0</v>
      </c>
      <c r="Q143" s="637">
        <f t="shared" ref="Q143:Q193" si="119">ROUNDDOWN(AA143,1)</f>
        <v>3</v>
      </c>
      <c r="R143" s="714">
        <f t="shared" si="83"/>
        <v>0.5</v>
      </c>
      <c r="S143" s="3232"/>
      <c r="T143" s="3260">
        <f t="shared" ref="T143:T194" si="120">ROUNDDOWN(AC143,1)</f>
        <v>0</v>
      </c>
      <c r="U143" s="619">
        <f t="shared" si="113"/>
        <v>0</v>
      </c>
      <c r="V143" s="620"/>
      <c r="W143" s="554"/>
      <c r="X143" s="689">
        <f>採点LR1!K112</f>
        <v>3</v>
      </c>
      <c r="Y143" s="3240"/>
      <c r="Z143" s="2445"/>
      <c r="AA143" s="641">
        <f t="shared" ref="AA143:AA144" si="121">IF($AA$3=4,P143,X143)</f>
        <v>3</v>
      </c>
      <c r="AB143" s="622">
        <f>重み!D143</f>
        <v>0.5</v>
      </c>
      <c r="AC143" s="641">
        <f t="shared" ref="AC143:AC144" si="122">IF($AA$3=4,S143,Y143)</f>
        <v>0</v>
      </c>
      <c r="AD143" s="622">
        <f>重み!E143</f>
        <v>0</v>
      </c>
      <c r="AE143" s="601"/>
      <c r="AF143" s="554"/>
      <c r="AG143" s="582">
        <f>重み!M143</f>
        <v>7.874015748031496E-3</v>
      </c>
      <c r="AH143" s="568"/>
      <c r="AI143" s="582"/>
      <c r="AJ143" s="2445"/>
      <c r="AK143" s="2445"/>
      <c r="AL143" s="2445"/>
      <c r="AM143" s="2445"/>
      <c r="AN143" s="2445"/>
      <c r="AO143" s="2445"/>
      <c r="AP143" s="2445"/>
      <c r="AQ143" s="2445"/>
      <c r="AR143" s="2445"/>
      <c r="AS143" s="2445"/>
      <c r="AT143" s="2445"/>
      <c r="AU143" s="2445"/>
      <c r="BM143" s="1" t="s">
        <v>3304</v>
      </c>
      <c r="BN143" s="1">
        <f t="shared" ref="BN143:BN144" si="123">IF(AND(ISERROR(Q143)=FALSE,ISERROR(R143)=FALSE,ISERROR(T143)=FALSE,ISERROR(U143)=FALSE),IF(OR(AND(Q143&gt;3,R143&gt;0),AND(T143&gt;3,U143&gt;0)),MAX(Q143,T143),0),0)</f>
        <v>0</v>
      </c>
      <c r="BO143" s="2895" t="str">
        <f t="shared" ref="BO143:BO144" si="124">IF(K143=0,"",K143)</f>
        <v/>
      </c>
    </row>
    <row r="144" spans="2:67" ht="14.25" thickBot="1">
      <c r="B144" s="717"/>
      <c r="C144" s="785"/>
      <c r="D144" s="634">
        <v>4.2</v>
      </c>
      <c r="E144" s="628" t="s">
        <v>828</v>
      </c>
      <c r="F144" s="670"/>
      <c r="G144" s="3348"/>
      <c r="H144" s="3349" t="s">
        <v>4105</v>
      </c>
      <c r="I144" s="2459"/>
      <c r="J144" s="2460"/>
      <c r="K144" s="3614"/>
      <c r="L144" s="3615"/>
      <c r="M144" s="3615"/>
      <c r="N144" s="3615"/>
      <c r="O144" s="3616"/>
      <c r="P144" s="3215">
        <v>0</v>
      </c>
      <c r="Q144" s="644">
        <f t="shared" si="119"/>
        <v>3</v>
      </c>
      <c r="R144" s="714">
        <f t="shared" si="83"/>
        <v>0.5</v>
      </c>
      <c r="S144" s="3232"/>
      <c r="T144" s="3260">
        <f t="shared" si="120"/>
        <v>0</v>
      </c>
      <c r="U144" s="619">
        <f t="shared" si="113"/>
        <v>0</v>
      </c>
      <c r="V144" s="620"/>
      <c r="W144" s="554"/>
      <c r="X144" s="695">
        <f>採点LR1!K142</f>
        <v>3</v>
      </c>
      <c r="Y144" s="3240"/>
      <c r="Z144" s="2445"/>
      <c r="AA144" s="641">
        <f t="shared" si="121"/>
        <v>3</v>
      </c>
      <c r="AB144" s="622">
        <f>重み!D144</f>
        <v>0.5</v>
      </c>
      <c r="AC144" s="641">
        <f t="shared" si="122"/>
        <v>0</v>
      </c>
      <c r="AD144" s="622">
        <f>重み!E144</f>
        <v>0</v>
      </c>
      <c r="AE144" s="601"/>
      <c r="AF144" s="554"/>
      <c r="AG144" s="582">
        <f>重み!M144</f>
        <v>7.874015748031496E-3</v>
      </c>
      <c r="AH144" s="568"/>
      <c r="AI144" s="582"/>
      <c r="AJ144" s="2445"/>
      <c r="AK144" s="2445"/>
      <c r="AL144" s="2445"/>
      <c r="AM144" s="2445"/>
      <c r="AN144" s="2445"/>
      <c r="AO144" s="2445"/>
      <c r="AP144" s="2445"/>
      <c r="AQ144" s="2445"/>
      <c r="AR144" s="2445"/>
      <c r="AS144" s="2445"/>
      <c r="AT144" s="2445"/>
      <c r="AU144" s="2445"/>
      <c r="BM144" s="1" t="s">
        <v>3305</v>
      </c>
      <c r="BN144" s="1">
        <f t="shared" si="123"/>
        <v>0</v>
      </c>
      <c r="BO144" s="2895" t="str">
        <f t="shared" si="124"/>
        <v/>
      </c>
    </row>
    <row r="145" spans="2:67" ht="15.75" thickBot="1">
      <c r="B145" s="696" t="s">
        <v>1583</v>
      </c>
      <c r="C145" s="735" t="s">
        <v>1584</v>
      </c>
      <c r="D145" s="735"/>
      <c r="E145" s="735"/>
      <c r="F145" s="736"/>
      <c r="G145" s="3350"/>
      <c r="H145" s="3351"/>
      <c r="I145" s="2482"/>
      <c r="J145" s="2483"/>
      <c r="K145" s="2851"/>
      <c r="L145" s="2852"/>
      <c r="M145" s="2852"/>
      <c r="N145" s="2852"/>
      <c r="O145" s="2853"/>
      <c r="P145" s="700"/>
      <c r="Q145" s="700">
        <f t="shared" si="119"/>
        <v>0</v>
      </c>
      <c r="R145" s="701" t="e">
        <f t="shared" si="83"/>
        <v>#DIV/0!</v>
      </c>
      <c r="S145" s="702"/>
      <c r="T145" s="3267">
        <f t="shared" si="120"/>
        <v>0</v>
      </c>
      <c r="U145" s="703">
        <f t="shared" si="113"/>
        <v>0</v>
      </c>
      <c r="V145" s="704">
        <f>ROUNDDOWN(AE145,1)</f>
        <v>3</v>
      </c>
      <c r="W145" s="554"/>
      <c r="X145" s="3224"/>
      <c r="Y145" s="3240"/>
      <c r="Z145" s="2445"/>
      <c r="AA145" s="675"/>
      <c r="AB145" s="610" t="e">
        <f>重み!D145</f>
        <v>#DIV/0!</v>
      </c>
      <c r="AC145" s="675"/>
      <c r="AD145" s="610"/>
      <c r="AE145" s="3220">
        <f>AE146*AB146+AE151*AB151+AB166*AE166</f>
        <v>3.0466666666666669</v>
      </c>
      <c r="AF145" s="554"/>
      <c r="AG145" s="582">
        <f>重み!M145</f>
        <v>0.3</v>
      </c>
      <c r="AH145" s="568"/>
      <c r="AI145" s="582">
        <f>重み!N145</f>
        <v>0</v>
      </c>
      <c r="AJ145" s="2445"/>
      <c r="AK145" s="3244"/>
      <c r="AL145" s="3221"/>
      <c r="AM145" s="3221"/>
      <c r="AN145" s="3221"/>
      <c r="AO145" s="3221"/>
      <c r="AP145" s="3221"/>
      <c r="AQ145" s="3221"/>
      <c r="AR145" s="3221"/>
      <c r="AS145" s="3221"/>
      <c r="AT145" s="3222"/>
      <c r="AU145" s="2391"/>
      <c r="AV145" s="2392" t="e">
        <f>R145</f>
        <v>#DIV/0!</v>
      </c>
      <c r="AW145" s="704">
        <f t="shared" ref="AW145" si="125">ROUNDDOWN(AY145,1)</f>
        <v>3</v>
      </c>
      <c r="AY145" s="2384">
        <f>SUMPRODUCT(AV146:AV171,AY146:AY171)</f>
        <v>3</v>
      </c>
      <c r="BM145" s="1"/>
      <c r="BN145" s="1"/>
      <c r="BO145" s="2895"/>
    </row>
    <row r="146" spans="2:67" ht="14.25" thickBot="1">
      <c r="B146" s="781">
        <v>1</v>
      </c>
      <c r="C146" s="614" t="s">
        <v>1049</v>
      </c>
      <c r="D146" s="614"/>
      <c r="E146" s="614"/>
      <c r="F146" s="616"/>
      <c r="G146" s="3302"/>
      <c r="H146" s="3352"/>
      <c r="I146" s="2457"/>
      <c r="J146" s="2458"/>
      <c r="K146" s="2866"/>
      <c r="L146" s="2867"/>
      <c r="M146" s="2867"/>
      <c r="N146" s="2867"/>
      <c r="O146" s="2868"/>
      <c r="P146" s="680">
        <f>ROUNDDOWN(AA146,1)</f>
        <v>3</v>
      </c>
      <c r="Q146" s="680">
        <f t="shared" si="119"/>
        <v>3</v>
      </c>
      <c r="R146" s="618">
        <f>AB146</f>
        <v>0.2</v>
      </c>
      <c r="S146" s="3230">
        <f>ROUNDDOWN(AC146,1)</f>
        <v>0</v>
      </c>
      <c r="T146" s="3264">
        <f t="shared" si="120"/>
        <v>0</v>
      </c>
      <c r="U146" s="619">
        <f t="shared" si="113"/>
        <v>0</v>
      </c>
      <c r="V146" s="620">
        <f>ROUNDDOWN(AE146,1)</f>
        <v>3</v>
      </c>
      <c r="W146" s="554"/>
      <c r="X146" s="3204"/>
      <c r="Y146" s="3240"/>
      <c r="Z146" s="2445"/>
      <c r="AA146" s="3202">
        <f>AA147*AB147+AA148*AB148</f>
        <v>3</v>
      </c>
      <c r="AB146" s="622">
        <f>重み!D146</f>
        <v>0.2</v>
      </c>
      <c r="AC146" s="3202">
        <f>AC147*AD147+AC148*AD148</f>
        <v>0</v>
      </c>
      <c r="AD146" s="623">
        <f>SUM(AD147,AD148)</f>
        <v>0</v>
      </c>
      <c r="AE146" s="601">
        <f>IF(AC146=0,AA146,IF(AA146=0,AC146,AA146*AG$6+AC146*AI$6))</f>
        <v>3</v>
      </c>
      <c r="AF146" s="554"/>
      <c r="AG146" s="582">
        <f>重み!M146</f>
        <v>0.2</v>
      </c>
      <c r="AH146" s="568"/>
      <c r="AI146" s="623">
        <f>SUM(AI147,AI148)</f>
        <v>0</v>
      </c>
      <c r="AJ146" s="2445"/>
      <c r="AK146" s="3211">
        <v>3</v>
      </c>
      <c r="AL146" s="3211"/>
      <c r="AM146" s="3211"/>
      <c r="AN146" s="3211"/>
      <c r="AO146" s="3211"/>
      <c r="AP146" s="3211">
        <v>4</v>
      </c>
      <c r="AQ146" s="3211"/>
      <c r="AR146" s="3211"/>
      <c r="AS146" s="3211"/>
      <c r="AT146" s="3211"/>
      <c r="AU146" s="2385">
        <f t="shared" ref="AU146:AU166" si="126">ROUNDDOWN(AY146,1)</f>
        <v>3</v>
      </c>
      <c r="AV146" s="799">
        <f>R146</f>
        <v>0.2</v>
      </c>
      <c r="AW146" s="662"/>
      <c r="AX146" s="2359"/>
      <c r="AY146" s="2384">
        <f>SUMPRODUCT($BB$7:$BK$7,AK146:AT146)/BA146</f>
        <v>3</v>
      </c>
      <c r="BA146" s="2383">
        <f>SUMPRODUCT($BB$7:$BK$7,BB146:BK146)</f>
        <v>0.98425196850393704</v>
      </c>
      <c r="BB146" s="2369">
        <f t="shared" ref="BB146:BK146" si="127">IF(AK146&gt;0,1,0)</f>
        <v>1</v>
      </c>
      <c r="BC146" s="2369">
        <f t="shared" si="127"/>
        <v>0</v>
      </c>
      <c r="BD146" s="2369">
        <f t="shared" si="127"/>
        <v>0</v>
      </c>
      <c r="BE146" s="2369">
        <f t="shared" si="127"/>
        <v>0</v>
      </c>
      <c r="BF146" s="2369">
        <f t="shared" si="127"/>
        <v>0</v>
      </c>
      <c r="BG146" s="2369">
        <f t="shared" si="127"/>
        <v>1</v>
      </c>
      <c r="BH146" s="2369">
        <f t="shared" si="127"/>
        <v>0</v>
      </c>
      <c r="BI146" s="2369">
        <f t="shared" si="127"/>
        <v>0</v>
      </c>
      <c r="BJ146" s="2369">
        <f t="shared" si="127"/>
        <v>0</v>
      </c>
      <c r="BK146" s="2369">
        <f t="shared" si="127"/>
        <v>0</v>
      </c>
      <c r="BM146" s="1"/>
      <c r="BN146" s="1"/>
      <c r="BO146" s="2895"/>
    </row>
    <row r="147" spans="2:67" ht="14.25" thickBot="1">
      <c r="B147" s="679"/>
      <c r="C147" s="655">
        <v>1.1000000000000001</v>
      </c>
      <c r="D147" s="628" t="s">
        <v>1050</v>
      </c>
      <c r="E147" s="628"/>
      <c r="F147" s="670"/>
      <c r="G147" s="3304"/>
      <c r="H147" s="3353"/>
      <c r="I147" s="2459"/>
      <c r="J147" s="2460"/>
      <c r="K147" s="3614"/>
      <c r="L147" s="3615"/>
      <c r="M147" s="3615"/>
      <c r="N147" s="3615"/>
      <c r="O147" s="3616"/>
      <c r="P147" s="3257">
        <v>3</v>
      </c>
      <c r="Q147" s="768">
        <f t="shared" si="119"/>
        <v>3</v>
      </c>
      <c r="R147" s="772">
        <f t="shared" si="83"/>
        <v>0.4</v>
      </c>
      <c r="S147" s="3236"/>
      <c r="T147" s="3268">
        <f t="shared" si="120"/>
        <v>0</v>
      </c>
      <c r="U147" s="668">
        <f t="shared" si="113"/>
        <v>0</v>
      </c>
      <c r="V147" s="632"/>
      <c r="W147" s="554"/>
      <c r="X147" s="689">
        <f>採点LR2!F8</f>
        <v>3</v>
      </c>
      <c r="Y147" s="3261"/>
      <c r="Z147" s="2445"/>
      <c r="AA147" s="3200">
        <f>IF($AA$3=4,P147,X147)</f>
        <v>3</v>
      </c>
      <c r="AB147" s="622">
        <f>重み!D147</f>
        <v>0.4</v>
      </c>
      <c r="AC147" s="3200">
        <f>IF($AA$3=4,S147,Y147)</f>
        <v>0</v>
      </c>
      <c r="AD147" s="622">
        <f>重み!E147</f>
        <v>0</v>
      </c>
      <c r="AE147" s="601"/>
      <c r="AF147" s="554"/>
      <c r="AG147" s="582">
        <f>重み!M147</f>
        <v>0.4</v>
      </c>
      <c r="AH147" s="568"/>
      <c r="AI147" s="582">
        <f>重み!N147</f>
        <v>0</v>
      </c>
      <c r="AJ147" s="2445"/>
      <c r="AK147" s="2445"/>
      <c r="AL147" s="2445"/>
      <c r="AM147" s="2445"/>
      <c r="AN147" s="2445"/>
      <c r="AO147" s="2445"/>
      <c r="AP147" s="2445"/>
      <c r="AQ147" s="2445"/>
      <c r="AR147" s="2445"/>
      <c r="AS147" s="2445"/>
      <c r="AT147" s="2445"/>
      <c r="AU147" s="2404">
        <f t="shared" si="126"/>
        <v>0</v>
      </c>
      <c r="BM147" s="1" t="s">
        <v>4106</v>
      </c>
      <c r="BN147" s="1">
        <f>IF(AND(ISERROR(Q147)=FALSE,ISERROR(R147)=FALSE,ISERROR(T147)=FALSE,ISERROR(U147)=FALSE),IF(OR(AND(Q147&gt;3,R147&gt;0),AND(T147&gt;3,U147&gt;0)),MAX(Q147,T147),0),0)</f>
        <v>0</v>
      </c>
      <c r="BO147" s="2895" t="str">
        <f>IF(K147=0,"",K147)</f>
        <v/>
      </c>
    </row>
    <row r="148" spans="2:67" ht="14.25" thickBot="1">
      <c r="B148" s="679"/>
      <c r="C148" s="782">
        <v>1.2</v>
      </c>
      <c r="D148" s="663" t="s">
        <v>1051</v>
      </c>
      <c r="E148" s="627"/>
      <c r="F148" s="665"/>
      <c r="G148" s="3303"/>
      <c r="H148" s="3354"/>
      <c r="I148" s="2459"/>
      <c r="J148" s="2460"/>
      <c r="K148" s="2842"/>
      <c r="L148" s="2843"/>
      <c r="M148" s="2843"/>
      <c r="N148" s="2843"/>
      <c r="O148" s="2844"/>
      <c r="P148" s="680">
        <f>ROUNDDOWN(AA148,1)</f>
        <v>3</v>
      </c>
      <c r="Q148" s="680">
        <f t="shared" si="119"/>
        <v>3</v>
      </c>
      <c r="R148" s="618">
        <f>AB148</f>
        <v>0.6</v>
      </c>
      <c r="S148" s="3230">
        <f>ROUNDDOWN(AC148,1)</f>
        <v>0</v>
      </c>
      <c r="T148" s="3264">
        <f t="shared" si="120"/>
        <v>0</v>
      </c>
      <c r="U148" s="619">
        <f t="shared" si="113"/>
        <v>0</v>
      </c>
      <c r="V148" s="620"/>
      <c r="W148" s="554"/>
      <c r="X148" s="783"/>
      <c r="Y148" s="3240"/>
      <c r="Z148" s="2445"/>
      <c r="AA148" s="621">
        <f>SUMPRODUCT(AA149:AA150,AB149:AB150)</f>
        <v>2.9999999999999996</v>
      </c>
      <c r="AB148" s="622">
        <f>重み!D148</f>
        <v>0.6</v>
      </c>
      <c r="AC148" s="621">
        <f>SUMPRODUCT(AC149:AC150,AD149:AD150)</f>
        <v>0</v>
      </c>
      <c r="AD148" s="622">
        <f>重み!E148</f>
        <v>0</v>
      </c>
      <c r="AE148" s="601"/>
      <c r="AF148" s="554"/>
      <c r="AG148" s="582">
        <f>重み!M148</f>
        <v>0.6</v>
      </c>
      <c r="AH148" s="568"/>
      <c r="AI148" s="582">
        <f>重み!N148</f>
        <v>0</v>
      </c>
      <c r="AJ148" s="2445"/>
      <c r="AK148" s="2445"/>
      <c r="AL148" s="2445"/>
      <c r="AM148" s="2445"/>
      <c r="AN148" s="2445"/>
      <c r="AO148" s="2445"/>
      <c r="AP148" s="2445"/>
      <c r="AQ148" s="2445"/>
      <c r="AR148" s="2445"/>
      <c r="AS148" s="2445"/>
      <c r="AT148" s="2445"/>
      <c r="AU148" s="2404">
        <f t="shared" si="126"/>
        <v>0</v>
      </c>
      <c r="BM148" s="1"/>
      <c r="BN148" s="1"/>
      <c r="BO148" s="2895"/>
    </row>
    <row r="149" spans="2:67">
      <c r="B149" s="679"/>
      <c r="C149" s="784"/>
      <c r="D149" s="634">
        <v>1</v>
      </c>
      <c r="E149" s="628" t="s">
        <v>1052</v>
      </c>
      <c r="F149" s="670"/>
      <c r="G149" s="3304"/>
      <c r="H149" s="3353"/>
      <c r="I149" s="2465" t="s">
        <v>2520</v>
      </c>
      <c r="J149" s="2466" t="s">
        <v>2518</v>
      </c>
      <c r="K149" s="3614"/>
      <c r="L149" s="3615"/>
      <c r="M149" s="3615"/>
      <c r="N149" s="3615"/>
      <c r="O149" s="3616"/>
      <c r="P149" s="3197">
        <v>3</v>
      </c>
      <c r="Q149" s="637">
        <f t="shared" si="119"/>
        <v>3</v>
      </c>
      <c r="R149" s="714">
        <f t="shared" ref="R149:R187" si="128">AB149</f>
        <v>0.7</v>
      </c>
      <c r="S149" s="3232"/>
      <c r="T149" s="3260">
        <f t="shared" si="120"/>
        <v>0</v>
      </c>
      <c r="U149" s="619">
        <f t="shared" si="113"/>
        <v>0</v>
      </c>
      <c r="V149" s="620"/>
      <c r="W149" s="554"/>
      <c r="X149" s="711">
        <f>採点LR2!F18</f>
        <v>3</v>
      </c>
      <c r="Y149" s="3261"/>
      <c r="Z149" s="2445"/>
      <c r="AA149" s="641">
        <f t="shared" ref="AA149:AA150" si="129">IF($AA$3=4,P149,X149)</f>
        <v>3</v>
      </c>
      <c r="AB149" s="622">
        <f>重み!D149</f>
        <v>0.7</v>
      </c>
      <c r="AC149" s="641">
        <f t="shared" ref="AC149:AC150" si="130">IF($AA$3=4,S149,Y149)</f>
        <v>0</v>
      </c>
      <c r="AD149" s="622">
        <f>重み!E149</f>
        <v>0</v>
      </c>
      <c r="AE149" s="601"/>
      <c r="AF149" s="554"/>
      <c r="AG149" s="582">
        <f>重み!M149</f>
        <v>0.7</v>
      </c>
      <c r="AH149" s="568"/>
      <c r="AI149" s="582">
        <f>重み!N149</f>
        <v>0</v>
      </c>
      <c r="AJ149" s="2445"/>
      <c r="AK149" s="2445"/>
      <c r="AL149" s="2445"/>
      <c r="AM149" s="2445"/>
      <c r="AN149" s="2445"/>
      <c r="AO149" s="2445"/>
      <c r="AP149" s="2445"/>
      <c r="AQ149" s="2445"/>
      <c r="AR149" s="2445"/>
      <c r="AS149" s="2445"/>
      <c r="AT149" s="2445"/>
      <c r="AU149" s="2404">
        <f t="shared" si="126"/>
        <v>0</v>
      </c>
      <c r="BM149" s="1" t="s">
        <v>4107</v>
      </c>
      <c r="BN149" s="1">
        <f t="shared" ref="BN149:BN150" si="131">IF(AND(ISERROR(Q149)=FALSE,ISERROR(R149)=FALSE,ISERROR(T149)=FALSE,ISERROR(U149)=FALSE),IF(OR(AND(Q149&gt;3,R149&gt;0),AND(T149&gt;3,U149&gt;0)),MAX(Q149,T149),0),0)</f>
        <v>0</v>
      </c>
      <c r="BO149" s="2895" t="str">
        <f t="shared" ref="BO149:BO150" si="132">IF(K149=0,"",K149)</f>
        <v/>
      </c>
    </row>
    <row r="150" spans="2:67" ht="14.25" thickBot="1">
      <c r="B150" s="717"/>
      <c r="C150" s="785"/>
      <c r="D150" s="634">
        <v>2</v>
      </c>
      <c r="E150" s="3636" t="s">
        <v>1053</v>
      </c>
      <c r="F150" s="3637"/>
      <c r="G150" s="3304"/>
      <c r="H150" s="3353"/>
      <c r="I150" s="2459"/>
      <c r="J150" s="2460"/>
      <c r="K150" s="3614"/>
      <c r="L150" s="3615"/>
      <c r="M150" s="3615"/>
      <c r="N150" s="3615"/>
      <c r="O150" s="3616"/>
      <c r="P150" s="3215">
        <v>3</v>
      </c>
      <c r="Q150" s="644">
        <f t="shared" si="119"/>
        <v>3</v>
      </c>
      <c r="R150" s="714">
        <f t="shared" si="128"/>
        <v>0.3</v>
      </c>
      <c r="S150" s="3232"/>
      <c r="T150" s="3260">
        <f t="shared" si="120"/>
        <v>0</v>
      </c>
      <c r="U150" s="619">
        <f t="shared" si="113"/>
        <v>0</v>
      </c>
      <c r="V150" s="620"/>
      <c r="W150" s="554"/>
      <c r="X150" s="711">
        <f>採点LR2!K18</f>
        <v>3</v>
      </c>
      <c r="Y150" s="3261"/>
      <c r="Z150" s="2445"/>
      <c r="AA150" s="641">
        <f t="shared" si="129"/>
        <v>3</v>
      </c>
      <c r="AB150" s="622">
        <f>重み!D150</f>
        <v>0.3</v>
      </c>
      <c r="AC150" s="641">
        <f t="shared" si="130"/>
        <v>0</v>
      </c>
      <c r="AD150" s="622">
        <f>重み!E150</f>
        <v>0</v>
      </c>
      <c r="AE150" s="601"/>
      <c r="AF150" s="554"/>
      <c r="AG150" s="582">
        <f>重み!M150</f>
        <v>0.3</v>
      </c>
      <c r="AH150" s="568"/>
      <c r="AI150" s="582">
        <f>重み!N150</f>
        <v>0</v>
      </c>
      <c r="AJ150" s="2445"/>
      <c r="AK150" s="2445"/>
      <c r="AL150" s="2445"/>
      <c r="AM150" s="2445"/>
      <c r="AN150" s="2445"/>
      <c r="AO150" s="2445"/>
      <c r="AP150" s="2445"/>
      <c r="AQ150" s="2445"/>
      <c r="AR150" s="2445"/>
      <c r="AS150" s="2445"/>
      <c r="AT150" s="2445"/>
      <c r="AU150" s="2404">
        <f t="shared" si="126"/>
        <v>0</v>
      </c>
      <c r="BM150" s="1" t="s">
        <v>4108</v>
      </c>
      <c r="BN150" s="1">
        <f t="shared" si="131"/>
        <v>0</v>
      </c>
      <c r="BO150" s="2895" t="str">
        <f t="shared" si="132"/>
        <v/>
      </c>
    </row>
    <row r="151" spans="2:67" ht="14.25" thickBot="1">
      <c r="B151" s="769">
        <v>2</v>
      </c>
      <c r="C151" s="2403" t="s">
        <v>1054</v>
      </c>
      <c r="D151" s="2403"/>
      <c r="E151" s="2403"/>
      <c r="F151" s="665"/>
      <c r="G151" s="3334"/>
      <c r="H151" s="3355"/>
      <c r="I151" s="2461"/>
      <c r="J151" s="2462"/>
      <c r="K151" s="2845"/>
      <c r="L151" s="2846"/>
      <c r="M151" s="2846"/>
      <c r="N151" s="2846"/>
      <c r="O151" s="2847"/>
      <c r="P151" s="680">
        <f>ROUNDDOWN(AA151,1)</f>
        <v>3</v>
      </c>
      <c r="Q151" s="680">
        <f t="shared" si="119"/>
        <v>3</v>
      </c>
      <c r="R151" s="660">
        <f>AB151</f>
        <v>0.6</v>
      </c>
      <c r="S151" s="3250">
        <f>ROUNDDOWN(AC151,1)</f>
        <v>0</v>
      </c>
      <c r="T151" s="3265">
        <f t="shared" si="120"/>
        <v>0</v>
      </c>
      <c r="U151" s="661">
        <f t="shared" si="113"/>
        <v>0</v>
      </c>
      <c r="V151" s="662">
        <f>ROUNDDOWN(AE151,1)</f>
        <v>3</v>
      </c>
      <c r="W151" s="554"/>
      <c r="X151" s="783"/>
      <c r="Y151" s="3240"/>
      <c r="Z151" s="2445"/>
      <c r="AA151" s="3202">
        <f>SUMPRODUCT(AA152:AA158,AB152:AB158)+AA165*AB165</f>
        <v>3.0000000000000004</v>
      </c>
      <c r="AB151" s="622">
        <f>重み!D151</f>
        <v>0.6</v>
      </c>
      <c r="AC151" s="3202">
        <f>SUMPRODUCT(AC152:AC158,AD152:AD158)+AC165*AD165</f>
        <v>0</v>
      </c>
      <c r="AD151" s="623">
        <f>SUM(AD152:AD158)+AD165</f>
        <v>0</v>
      </c>
      <c r="AE151" s="601">
        <f>IF(AC151=0,AA151,IF(AA151=0,AC151,AA151*AG$6+AC151*AI$6))</f>
        <v>3.0000000000000004</v>
      </c>
      <c r="AF151" s="554"/>
      <c r="AG151" s="582">
        <f>重み!M151</f>
        <v>0.6</v>
      </c>
      <c r="AH151" s="568"/>
      <c r="AI151" s="623">
        <f>SUM(AI152:AI158)+AI165</f>
        <v>0</v>
      </c>
      <c r="AJ151" s="2445"/>
      <c r="AK151" s="3211">
        <v>3</v>
      </c>
      <c r="AL151" s="3211"/>
      <c r="AM151" s="3211"/>
      <c r="AN151" s="3211"/>
      <c r="AO151" s="3211"/>
      <c r="AP151" s="3211">
        <v>4</v>
      </c>
      <c r="AQ151" s="3211"/>
      <c r="AR151" s="3211"/>
      <c r="AS151" s="3211"/>
      <c r="AT151" s="3211"/>
      <c r="AU151" s="2385">
        <f t="shared" si="126"/>
        <v>3</v>
      </c>
      <c r="AV151" s="799">
        <f>R151</f>
        <v>0.6</v>
      </c>
      <c r="AW151" s="662"/>
      <c r="AX151" s="2359"/>
      <c r="AY151" s="2384">
        <f>SUMPRODUCT($BB$7:$BK$7,AK151:AT151)/BA151</f>
        <v>3</v>
      </c>
      <c r="BA151" s="2383">
        <f>SUMPRODUCT($BB$7:$BK$7,BB151:BK151)</f>
        <v>0.98425196850393704</v>
      </c>
      <c r="BB151" s="2369">
        <f t="shared" ref="BB151:BK151" si="133">IF(AK151&gt;0,1,0)</f>
        <v>1</v>
      </c>
      <c r="BC151" s="2369">
        <f t="shared" si="133"/>
        <v>0</v>
      </c>
      <c r="BD151" s="2369">
        <f t="shared" si="133"/>
        <v>0</v>
      </c>
      <c r="BE151" s="2369">
        <f t="shared" si="133"/>
        <v>0</v>
      </c>
      <c r="BF151" s="2369">
        <f t="shared" si="133"/>
        <v>0</v>
      </c>
      <c r="BG151" s="2369">
        <f t="shared" si="133"/>
        <v>1</v>
      </c>
      <c r="BH151" s="2369">
        <f t="shared" si="133"/>
        <v>0</v>
      </c>
      <c r="BI151" s="2369">
        <f t="shared" si="133"/>
        <v>0</v>
      </c>
      <c r="BJ151" s="2369">
        <f t="shared" si="133"/>
        <v>0</v>
      </c>
      <c r="BK151" s="2369">
        <f t="shared" si="133"/>
        <v>0</v>
      </c>
      <c r="BM151" s="1"/>
      <c r="BN151" s="1"/>
      <c r="BO151" s="2895"/>
    </row>
    <row r="152" spans="2:67" ht="21">
      <c r="B152" s="771"/>
      <c r="C152" s="655">
        <v>2.1</v>
      </c>
      <c r="D152" s="730" t="s">
        <v>1055</v>
      </c>
      <c r="E152" s="628"/>
      <c r="F152" s="670"/>
      <c r="G152" s="3304"/>
      <c r="H152" s="3356"/>
      <c r="I152" s="2465" t="s">
        <v>2521</v>
      </c>
      <c r="J152" s="2500" t="s">
        <v>2527</v>
      </c>
      <c r="K152" s="3614"/>
      <c r="L152" s="3615"/>
      <c r="M152" s="3615"/>
      <c r="N152" s="3615"/>
      <c r="O152" s="3616"/>
      <c r="P152" s="3197">
        <v>0</v>
      </c>
      <c r="Q152" s="637">
        <f t="shared" si="119"/>
        <v>3</v>
      </c>
      <c r="R152" s="714">
        <f t="shared" si="128"/>
        <v>0.1</v>
      </c>
      <c r="S152" s="3232"/>
      <c r="T152" s="3260">
        <f t="shared" si="120"/>
        <v>0</v>
      </c>
      <c r="U152" s="619">
        <f t="shared" si="113"/>
        <v>0</v>
      </c>
      <c r="V152" s="620"/>
      <c r="W152" s="554"/>
      <c r="X152" s="3269">
        <f>採点LR2!F29</f>
        <v>3</v>
      </c>
      <c r="Y152" s="3261"/>
      <c r="Z152" s="2445"/>
      <c r="AA152" s="3200">
        <f t="shared" ref="AA152:AA157" si="134">IF($AA$3=4,P152,X152)</f>
        <v>3</v>
      </c>
      <c r="AB152" s="622">
        <f>重み!D152</f>
        <v>0.1</v>
      </c>
      <c r="AC152" s="3200">
        <f t="shared" ref="AC152:AC157" si="135">IF($AA$3=4,S152,Y152)</f>
        <v>0</v>
      </c>
      <c r="AD152" s="622">
        <f>重み!E152</f>
        <v>0</v>
      </c>
      <c r="AE152" s="601"/>
      <c r="AF152" s="554"/>
      <c r="AG152" s="582">
        <f>重み!M152</f>
        <v>0.1</v>
      </c>
      <c r="AH152" s="568"/>
      <c r="AI152" s="582">
        <f>重み!N152</f>
        <v>0</v>
      </c>
      <c r="AJ152" s="2445"/>
      <c r="AK152" s="2445"/>
      <c r="AL152" s="2445"/>
      <c r="AM152" s="2445"/>
      <c r="AN152" s="2445"/>
      <c r="AO152" s="2445"/>
      <c r="AP152" s="2445"/>
      <c r="AQ152" s="2445"/>
      <c r="AR152" s="2445"/>
      <c r="AS152" s="2445"/>
      <c r="AT152" s="2445"/>
      <c r="AU152" s="2404">
        <f t="shared" si="126"/>
        <v>0</v>
      </c>
      <c r="BM152" s="1" t="s">
        <v>4109</v>
      </c>
      <c r="BN152" s="1">
        <f t="shared" ref="BN152:BN157" si="136">IF(AND(ISERROR(Q152)=FALSE,ISERROR(R152)=FALSE,ISERROR(T152)=FALSE,ISERROR(U152)=FALSE),IF(OR(AND(Q152&gt;3,R152&gt;0),AND(T152&gt;3,U152&gt;0)),MAX(Q152,T152),0),0)</f>
        <v>0</v>
      </c>
      <c r="BO152" s="2895" t="str">
        <f t="shared" ref="BO152:BO157" si="137">IF(K152=0,"",K152)</f>
        <v/>
      </c>
    </row>
    <row r="153" spans="2:67">
      <c r="B153" s="685"/>
      <c r="C153" s="655">
        <v>2.2000000000000002</v>
      </c>
      <c r="D153" s="730" t="s">
        <v>1056</v>
      </c>
      <c r="E153" s="628"/>
      <c r="F153" s="670"/>
      <c r="G153" s="3304"/>
      <c r="H153" s="3356"/>
      <c r="I153" s="2459"/>
      <c r="J153" s="2460"/>
      <c r="K153" s="3614"/>
      <c r="L153" s="3615"/>
      <c r="M153" s="3615"/>
      <c r="N153" s="3615"/>
      <c r="O153" s="3616"/>
      <c r="P153" s="3198">
        <v>0</v>
      </c>
      <c r="Q153" s="651">
        <f t="shared" si="119"/>
        <v>3</v>
      </c>
      <c r="R153" s="714">
        <f t="shared" si="128"/>
        <v>0.2</v>
      </c>
      <c r="S153" s="3232"/>
      <c r="T153" s="3260">
        <f t="shared" si="120"/>
        <v>0</v>
      </c>
      <c r="U153" s="619">
        <f t="shared" si="113"/>
        <v>0</v>
      </c>
      <c r="V153" s="620"/>
      <c r="W153" s="554"/>
      <c r="X153" s="787">
        <f>採点LR2!F55</f>
        <v>3</v>
      </c>
      <c r="Y153" s="3240"/>
      <c r="Z153" s="2445"/>
      <c r="AA153" s="3200">
        <f t="shared" si="134"/>
        <v>3</v>
      </c>
      <c r="AB153" s="622">
        <f>重み!D153</f>
        <v>0.2</v>
      </c>
      <c r="AC153" s="3200">
        <f t="shared" si="135"/>
        <v>0</v>
      </c>
      <c r="AD153" s="622">
        <f>重み!E153</f>
        <v>0</v>
      </c>
      <c r="AE153" s="601"/>
      <c r="AF153" s="554"/>
      <c r="AG153" s="582">
        <f>重み!M153</f>
        <v>0.2</v>
      </c>
      <c r="AH153" s="568"/>
      <c r="AI153" s="582">
        <f>重み!N153</f>
        <v>0</v>
      </c>
      <c r="AJ153" s="2445"/>
      <c r="AK153" s="2445"/>
      <c r="AL153" s="2445"/>
      <c r="AM153" s="2445"/>
      <c r="AN153" s="2445"/>
      <c r="AO153" s="2445"/>
      <c r="AP153" s="2445"/>
      <c r="AQ153" s="2445"/>
      <c r="AR153" s="2445"/>
      <c r="AS153" s="2445"/>
      <c r="AT153" s="2445"/>
      <c r="AU153" s="2404">
        <f t="shared" si="126"/>
        <v>0</v>
      </c>
      <c r="BM153" s="1" t="s">
        <v>4110</v>
      </c>
      <c r="BN153" s="1">
        <f t="shared" si="136"/>
        <v>0</v>
      </c>
      <c r="BO153" s="2895" t="str">
        <f t="shared" si="137"/>
        <v/>
      </c>
    </row>
    <row r="154" spans="2:67" ht="21">
      <c r="B154" s="679"/>
      <c r="C154" s="655">
        <v>2.2999999999999998</v>
      </c>
      <c r="D154" s="628" t="s">
        <v>1057</v>
      </c>
      <c r="E154" s="628"/>
      <c r="F154" s="670"/>
      <c r="G154" s="3304"/>
      <c r="H154" s="3356"/>
      <c r="I154" s="2496" t="s">
        <v>2521</v>
      </c>
      <c r="J154" s="2501" t="s">
        <v>2527</v>
      </c>
      <c r="K154" s="3614"/>
      <c r="L154" s="3656"/>
      <c r="M154" s="3656"/>
      <c r="N154" s="3656"/>
      <c r="O154" s="3657"/>
      <c r="P154" s="3213">
        <v>0</v>
      </c>
      <c r="Q154" s="651">
        <f t="shared" si="119"/>
        <v>3</v>
      </c>
      <c r="R154" s="714">
        <f t="shared" si="128"/>
        <v>0.2</v>
      </c>
      <c r="S154" s="3232"/>
      <c r="T154" s="3260">
        <f t="shared" si="120"/>
        <v>0</v>
      </c>
      <c r="U154" s="619">
        <f t="shared" si="113"/>
        <v>0</v>
      </c>
      <c r="V154" s="620"/>
      <c r="W154" s="554"/>
      <c r="X154" s="786">
        <f>採点LR2!F64</f>
        <v>3</v>
      </c>
      <c r="Y154" s="3261"/>
      <c r="Z154" s="2445"/>
      <c r="AA154" s="3200">
        <f t="shared" si="134"/>
        <v>3</v>
      </c>
      <c r="AB154" s="622">
        <f>重み!D154</f>
        <v>0.2</v>
      </c>
      <c r="AC154" s="3200">
        <f t="shared" si="135"/>
        <v>0</v>
      </c>
      <c r="AD154" s="622">
        <f>重み!E154</f>
        <v>0</v>
      </c>
      <c r="AE154" s="601"/>
      <c r="AF154" s="554"/>
      <c r="AG154" s="582">
        <f>重み!M154</f>
        <v>0.2</v>
      </c>
      <c r="AH154" s="568"/>
      <c r="AI154" s="582">
        <f>重み!N154</f>
        <v>0</v>
      </c>
      <c r="AJ154" s="2445"/>
      <c r="AK154" s="2445"/>
      <c r="AL154" s="2445"/>
      <c r="AM154" s="2445"/>
      <c r="AN154" s="2445"/>
      <c r="AO154" s="2445"/>
      <c r="AP154" s="2445"/>
      <c r="AQ154" s="2445"/>
      <c r="AR154" s="2445"/>
      <c r="AS154" s="2445"/>
      <c r="AT154" s="2445"/>
      <c r="AU154" s="2404">
        <f t="shared" si="126"/>
        <v>0</v>
      </c>
      <c r="BM154" s="1" t="s">
        <v>4111</v>
      </c>
      <c r="BN154" s="1">
        <f t="shared" si="136"/>
        <v>0</v>
      </c>
      <c r="BO154" s="2895" t="str">
        <f t="shared" si="137"/>
        <v/>
      </c>
    </row>
    <row r="155" spans="2:67" ht="21">
      <c r="B155" s="679"/>
      <c r="C155" s="655">
        <v>2.4</v>
      </c>
      <c r="D155" s="3617" t="s">
        <v>50</v>
      </c>
      <c r="E155" s="3476"/>
      <c r="F155" s="3637"/>
      <c r="G155" s="3303"/>
      <c r="H155" s="3298"/>
      <c r="I155" s="2496" t="s">
        <v>2521</v>
      </c>
      <c r="J155" s="2502" t="s">
        <v>2531</v>
      </c>
      <c r="K155" s="3614"/>
      <c r="L155" s="3656"/>
      <c r="M155" s="3656"/>
      <c r="N155" s="3656"/>
      <c r="O155" s="3657"/>
      <c r="P155" s="3213">
        <v>3</v>
      </c>
      <c r="Q155" s="651">
        <f t="shared" si="119"/>
        <v>3</v>
      </c>
      <c r="R155" s="714">
        <f t="shared" si="128"/>
        <v>0.2</v>
      </c>
      <c r="S155" s="3232"/>
      <c r="T155" s="3260">
        <f t="shared" si="120"/>
        <v>0</v>
      </c>
      <c r="U155" s="619">
        <f t="shared" si="113"/>
        <v>0</v>
      </c>
      <c r="V155" s="620"/>
      <c r="W155" s="554"/>
      <c r="X155" s="786">
        <f>採点LR2!F94</f>
        <v>3</v>
      </c>
      <c r="Y155" s="3261"/>
      <c r="Z155" s="2445"/>
      <c r="AA155" s="3200">
        <f t="shared" si="134"/>
        <v>3</v>
      </c>
      <c r="AB155" s="622">
        <f>重み!D155</f>
        <v>0.2</v>
      </c>
      <c r="AC155" s="3200">
        <f t="shared" si="135"/>
        <v>0</v>
      </c>
      <c r="AD155" s="622">
        <f>重み!E155</f>
        <v>0</v>
      </c>
      <c r="AE155" s="601"/>
      <c r="AF155" s="554"/>
      <c r="AG155" s="582">
        <f>重み!M155</f>
        <v>0.2</v>
      </c>
      <c r="AH155" s="568"/>
      <c r="AI155" s="582">
        <f>重み!N155</f>
        <v>0</v>
      </c>
      <c r="AJ155" s="2445"/>
      <c r="AK155" s="2445"/>
      <c r="AL155" s="2445"/>
      <c r="AM155" s="2445"/>
      <c r="AN155" s="2445"/>
      <c r="AO155" s="2445"/>
      <c r="AP155" s="2445"/>
      <c r="AQ155" s="2445"/>
      <c r="AR155" s="2445"/>
      <c r="AS155" s="2445"/>
      <c r="AT155" s="2445"/>
      <c r="AU155" s="2404">
        <f t="shared" si="126"/>
        <v>0</v>
      </c>
      <c r="BM155" s="1" t="s">
        <v>4112</v>
      </c>
      <c r="BN155" s="1">
        <f t="shared" si="136"/>
        <v>0</v>
      </c>
      <c r="BO155" s="2895" t="str">
        <f t="shared" si="137"/>
        <v/>
      </c>
    </row>
    <row r="156" spans="2:67" ht="21">
      <c r="B156" s="685"/>
      <c r="C156" s="655">
        <v>2.5</v>
      </c>
      <c r="D156" s="730" t="s">
        <v>1058</v>
      </c>
      <c r="E156" s="628"/>
      <c r="F156" s="670"/>
      <c r="G156" s="3304"/>
      <c r="H156" s="3356"/>
      <c r="I156" s="2503" t="s">
        <v>2520</v>
      </c>
      <c r="J156" s="2502" t="s">
        <v>2527</v>
      </c>
      <c r="K156" s="3614"/>
      <c r="L156" s="3615"/>
      <c r="M156" s="3615"/>
      <c r="N156" s="3615"/>
      <c r="O156" s="3616"/>
      <c r="P156" s="3213">
        <v>3</v>
      </c>
      <c r="Q156" s="651">
        <f t="shared" si="119"/>
        <v>3</v>
      </c>
      <c r="R156" s="714">
        <f t="shared" si="128"/>
        <v>0.1</v>
      </c>
      <c r="S156" s="3232"/>
      <c r="T156" s="3260">
        <f t="shared" si="120"/>
        <v>0</v>
      </c>
      <c r="U156" s="619">
        <f t="shared" si="113"/>
        <v>0</v>
      </c>
      <c r="V156" s="620"/>
      <c r="W156" s="554"/>
      <c r="X156" s="786">
        <f>採点LR2!F159</f>
        <v>3</v>
      </c>
      <c r="Y156" s="3261"/>
      <c r="Z156" s="2445"/>
      <c r="AA156" s="3200">
        <f t="shared" si="134"/>
        <v>3</v>
      </c>
      <c r="AB156" s="622">
        <f>重み!D156</f>
        <v>0.1</v>
      </c>
      <c r="AC156" s="3200">
        <f t="shared" si="135"/>
        <v>0</v>
      </c>
      <c r="AD156" s="622">
        <f>重み!E156</f>
        <v>0</v>
      </c>
      <c r="AE156" s="601"/>
      <c r="AF156" s="554"/>
      <c r="AG156" s="582">
        <f>重み!M156</f>
        <v>0.1</v>
      </c>
      <c r="AH156" s="568"/>
      <c r="AI156" s="582">
        <f>重み!N156</f>
        <v>0</v>
      </c>
      <c r="AJ156" s="2445"/>
      <c r="AK156" s="2445"/>
      <c r="AL156" s="2445"/>
      <c r="AM156" s="2445"/>
      <c r="AN156" s="2445"/>
      <c r="AO156" s="2445"/>
      <c r="AP156" s="2445"/>
      <c r="AQ156" s="2445"/>
      <c r="AR156" s="2445"/>
      <c r="AS156" s="2445"/>
      <c r="AT156" s="2445"/>
      <c r="AU156" s="2404">
        <f t="shared" si="126"/>
        <v>0</v>
      </c>
      <c r="BM156" s="1" t="s">
        <v>4113</v>
      </c>
      <c r="BN156" s="1">
        <f t="shared" si="136"/>
        <v>0</v>
      </c>
      <c r="BO156" s="2895" t="str">
        <f t="shared" si="137"/>
        <v/>
      </c>
    </row>
    <row r="157" spans="2:67" ht="14.25" thickBot="1">
      <c r="B157" s="788"/>
      <c r="C157" s="655">
        <v>2.6</v>
      </c>
      <c r="D157" s="730" t="s">
        <v>1059</v>
      </c>
      <c r="E157" s="628"/>
      <c r="F157" s="670"/>
      <c r="G157" s="3304"/>
      <c r="H157" s="3356"/>
      <c r="I157" s="2498" t="s">
        <v>2521</v>
      </c>
      <c r="J157" s="2499" t="s">
        <v>2518</v>
      </c>
      <c r="K157" s="3614"/>
      <c r="L157" s="3615"/>
      <c r="M157" s="3615"/>
      <c r="N157" s="3615"/>
      <c r="O157" s="3616"/>
      <c r="P157" s="3214">
        <v>3</v>
      </c>
      <c r="Q157" s="644">
        <f t="shared" si="119"/>
        <v>3</v>
      </c>
      <c r="R157" s="714">
        <f t="shared" si="128"/>
        <v>0.2</v>
      </c>
      <c r="S157" s="3232"/>
      <c r="T157" s="3260">
        <f t="shared" si="120"/>
        <v>0</v>
      </c>
      <c r="U157" s="619">
        <f t="shared" si="113"/>
        <v>0</v>
      </c>
      <c r="V157" s="620"/>
      <c r="W157" s="554"/>
      <c r="X157" s="3270">
        <f>採点LR2!F171</f>
        <v>3</v>
      </c>
      <c r="Y157" s="3240"/>
      <c r="Z157" s="2445"/>
      <c r="AA157" s="3200">
        <f t="shared" si="134"/>
        <v>3</v>
      </c>
      <c r="AB157" s="622">
        <f>重み!D157</f>
        <v>0.2</v>
      </c>
      <c r="AC157" s="3200">
        <f t="shared" si="135"/>
        <v>0</v>
      </c>
      <c r="AD157" s="622">
        <f>重み!E157</f>
        <v>0</v>
      </c>
      <c r="AE157" s="601"/>
      <c r="AF157" s="554"/>
      <c r="AG157" s="582">
        <f>重み!M157</f>
        <v>0.2</v>
      </c>
      <c r="AH157" s="568"/>
      <c r="AI157" s="582">
        <f>重み!N157</f>
        <v>0</v>
      </c>
      <c r="AJ157" s="2445"/>
      <c r="AK157" s="2445"/>
      <c r="AL157" s="2445"/>
      <c r="AM157" s="2445"/>
      <c r="AN157" s="2445"/>
      <c r="AO157" s="2445"/>
      <c r="AP157" s="2445"/>
      <c r="AQ157" s="2445"/>
      <c r="AR157" s="2445"/>
      <c r="AS157" s="2445"/>
      <c r="AT157" s="2445"/>
      <c r="AU157" s="2404">
        <f t="shared" si="126"/>
        <v>0</v>
      </c>
      <c r="BM157" s="1" t="s">
        <v>4114</v>
      </c>
      <c r="BN157" s="1">
        <f t="shared" si="136"/>
        <v>0</v>
      </c>
      <c r="BO157" s="2895" t="str">
        <f t="shared" si="137"/>
        <v/>
      </c>
    </row>
    <row r="158" spans="2:67" s="2445" customFormat="1" ht="14.25" hidden="1" thickBot="1">
      <c r="B158" s="2922"/>
      <c r="C158" s="3287">
        <v>2.6</v>
      </c>
      <c r="D158" s="3288" t="s">
        <v>1059</v>
      </c>
      <c r="E158" s="3289"/>
      <c r="F158" s="3290"/>
      <c r="G158" s="3304"/>
      <c r="H158" s="3356"/>
      <c r="I158" s="2920"/>
      <c r="J158" s="2921"/>
      <c r="K158" s="2912"/>
      <c r="L158" s="2913"/>
      <c r="M158" s="2913"/>
      <c r="N158" s="2913"/>
      <c r="O158" s="2915"/>
      <c r="P158" s="3196">
        <f>ROUNDDOWN(AA158,1)</f>
        <v>0</v>
      </c>
      <c r="Q158" s="2260">
        <f t="shared" si="119"/>
        <v>0</v>
      </c>
      <c r="R158" s="618">
        <f>AB158</f>
        <v>0</v>
      </c>
      <c r="S158" s="3230">
        <f>ROUNDDOWN(AC158,1)</f>
        <v>0</v>
      </c>
      <c r="T158" s="3264">
        <f t="shared" si="120"/>
        <v>0</v>
      </c>
      <c r="U158" s="748">
        <f t="shared" si="113"/>
        <v>0</v>
      </c>
      <c r="V158" s="620"/>
      <c r="W158" s="554"/>
      <c r="X158" s="792"/>
      <c r="Y158" s="3240"/>
      <c r="AA158" s="3271">
        <f>SUMPRODUCT(AA159:AA164,AB159:AB164)</f>
        <v>0</v>
      </c>
      <c r="AB158" s="622">
        <f>重み!D158</f>
        <v>0</v>
      </c>
      <c r="AC158" s="621">
        <f>SUMPRODUCT(AC159:AC164,AD159:AD164)</f>
        <v>0</v>
      </c>
      <c r="AD158" s="622">
        <f>重み!E158</f>
        <v>0</v>
      </c>
      <c r="AE158" s="601"/>
      <c r="AF158" s="554"/>
      <c r="AG158" s="582">
        <f>重み!M158</f>
        <v>0</v>
      </c>
      <c r="AH158" s="568"/>
      <c r="AI158" s="582">
        <f>重み!N159</f>
        <v>0</v>
      </c>
      <c r="AU158" s="2404">
        <f t="shared" si="126"/>
        <v>0</v>
      </c>
      <c r="BM158" s="1"/>
      <c r="BN158" s="1"/>
      <c r="BO158" s="2895"/>
    </row>
    <row r="159" spans="2:67" s="2445" customFormat="1" hidden="1">
      <c r="B159" s="2922"/>
      <c r="C159" s="3291"/>
      <c r="D159" s="3292">
        <v>1</v>
      </c>
      <c r="E159" s="3289" t="s">
        <v>4068</v>
      </c>
      <c r="F159" s="3290"/>
      <c r="G159" s="3303"/>
      <c r="H159" s="3298"/>
      <c r="I159" s="2920"/>
      <c r="J159" s="2921"/>
      <c r="K159" s="2912"/>
      <c r="L159" s="2913"/>
      <c r="M159" s="2913"/>
      <c r="N159" s="2913"/>
      <c r="O159" s="2915"/>
      <c r="P159" s="3212">
        <v>0</v>
      </c>
      <c r="Q159" s="637">
        <f t="shared" si="119"/>
        <v>5</v>
      </c>
      <c r="R159" s="714">
        <f t="shared" si="128"/>
        <v>0</v>
      </c>
      <c r="S159" s="3232"/>
      <c r="T159" s="3260">
        <f t="shared" si="120"/>
        <v>0</v>
      </c>
      <c r="U159" s="619">
        <f t="shared" si="113"/>
        <v>0</v>
      </c>
      <c r="V159" s="620"/>
      <c r="W159" s="554"/>
      <c r="X159" s="786">
        <f>採点LR2!F187</f>
        <v>5</v>
      </c>
      <c r="Y159" s="3261"/>
      <c r="AA159" s="641">
        <f t="shared" ref="AA159:AA164" si="138">IF($AA$3=4,P159,X159)</f>
        <v>5</v>
      </c>
      <c r="AB159" s="622">
        <f>重み!D159</f>
        <v>0</v>
      </c>
      <c r="AC159" s="641">
        <f t="shared" ref="AC159:AC164" si="139">IF($AA$3=4,S159,Y159)</f>
        <v>0</v>
      </c>
      <c r="AD159" s="622">
        <f>重み!E159</f>
        <v>0</v>
      </c>
      <c r="AE159" s="601"/>
      <c r="AF159" s="554"/>
      <c r="AG159" s="582">
        <f>重み!M159</f>
        <v>0</v>
      </c>
      <c r="AH159" s="568"/>
      <c r="AI159" s="582">
        <f>重み!N159</f>
        <v>0</v>
      </c>
      <c r="BM159" s="1"/>
      <c r="BN159" s="1"/>
      <c r="BO159" s="2895"/>
    </row>
    <row r="160" spans="2:67" s="2445" customFormat="1" hidden="1">
      <c r="B160" s="2922"/>
      <c r="C160" s="3291"/>
      <c r="D160" s="3292">
        <v>2</v>
      </c>
      <c r="E160" s="3289" t="s">
        <v>4069</v>
      </c>
      <c r="F160" s="3290"/>
      <c r="G160" s="3303"/>
      <c r="H160" s="3298"/>
      <c r="I160" s="2920"/>
      <c r="J160" s="2921"/>
      <c r="K160" s="2912"/>
      <c r="L160" s="2913"/>
      <c r="M160" s="2913"/>
      <c r="N160" s="2913"/>
      <c r="O160" s="2915"/>
      <c r="P160" s="3213">
        <v>0</v>
      </c>
      <c r="Q160" s="651">
        <f t="shared" si="119"/>
        <v>4</v>
      </c>
      <c r="R160" s="714">
        <f t="shared" si="128"/>
        <v>0</v>
      </c>
      <c r="S160" s="3232"/>
      <c r="T160" s="3260">
        <f t="shared" si="120"/>
        <v>0</v>
      </c>
      <c r="U160" s="619">
        <f t="shared" si="113"/>
        <v>0</v>
      </c>
      <c r="V160" s="620"/>
      <c r="W160" s="554"/>
      <c r="X160" s="786">
        <f>採点LR2!K187</f>
        <v>4</v>
      </c>
      <c r="Y160" s="3261"/>
      <c r="AA160" s="641">
        <f t="shared" si="138"/>
        <v>4</v>
      </c>
      <c r="AB160" s="622">
        <f>重み!D160</f>
        <v>0</v>
      </c>
      <c r="AC160" s="641">
        <f t="shared" si="139"/>
        <v>0</v>
      </c>
      <c r="AD160" s="622">
        <f>重み!E160</f>
        <v>0</v>
      </c>
      <c r="AE160" s="601"/>
      <c r="AF160" s="554"/>
      <c r="AG160" s="582">
        <f>重み!M160</f>
        <v>0</v>
      </c>
      <c r="AH160" s="568"/>
      <c r="AI160" s="582">
        <f>重み!N160</f>
        <v>0</v>
      </c>
      <c r="BM160" s="1"/>
      <c r="BN160" s="1"/>
      <c r="BO160" s="2895"/>
    </row>
    <row r="161" spans="2:67" s="2445" customFormat="1" hidden="1">
      <c r="B161" s="2922"/>
      <c r="C161" s="3291"/>
      <c r="D161" s="3292">
        <v>3</v>
      </c>
      <c r="E161" s="3289" t="s">
        <v>4070</v>
      </c>
      <c r="F161" s="3290"/>
      <c r="G161" s="3303"/>
      <c r="H161" s="3298"/>
      <c r="I161" s="2920"/>
      <c r="J161" s="2921"/>
      <c r="K161" s="2912"/>
      <c r="L161" s="2913"/>
      <c r="M161" s="2913"/>
      <c r="N161" s="2913"/>
      <c r="O161" s="2915"/>
      <c r="P161" s="3213">
        <v>0</v>
      </c>
      <c r="Q161" s="651">
        <f t="shared" si="119"/>
        <v>4</v>
      </c>
      <c r="R161" s="714">
        <f t="shared" si="128"/>
        <v>0</v>
      </c>
      <c r="S161" s="3232"/>
      <c r="T161" s="3260">
        <f t="shared" si="120"/>
        <v>0</v>
      </c>
      <c r="U161" s="619">
        <f t="shared" si="113"/>
        <v>0</v>
      </c>
      <c r="V161" s="620"/>
      <c r="W161" s="554"/>
      <c r="X161" s="786">
        <f>採点LR2!F196</f>
        <v>4</v>
      </c>
      <c r="Y161" s="3261"/>
      <c r="AA161" s="641">
        <f t="shared" si="138"/>
        <v>4</v>
      </c>
      <c r="AB161" s="622">
        <f>重み!D161</f>
        <v>0</v>
      </c>
      <c r="AC161" s="641">
        <f t="shared" si="139"/>
        <v>0</v>
      </c>
      <c r="AD161" s="622">
        <f>重み!E161</f>
        <v>0</v>
      </c>
      <c r="AE161" s="601"/>
      <c r="AF161" s="554"/>
      <c r="AG161" s="582">
        <f>重み!M161</f>
        <v>0</v>
      </c>
      <c r="AH161" s="568"/>
      <c r="AI161" s="582">
        <f>重み!N161</f>
        <v>0</v>
      </c>
      <c r="BM161" s="1"/>
      <c r="BN161" s="1"/>
      <c r="BO161" s="2895"/>
    </row>
    <row r="162" spans="2:67" s="2445" customFormat="1" hidden="1">
      <c r="B162" s="2922"/>
      <c r="C162" s="3291"/>
      <c r="D162" s="3292">
        <v>4</v>
      </c>
      <c r="E162" s="3289" t="s">
        <v>4071</v>
      </c>
      <c r="F162" s="3290"/>
      <c r="G162" s="3303"/>
      <c r="H162" s="3298"/>
      <c r="I162" s="2920"/>
      <c r="J162" s="2921"/>
      <c r="K162" s="2912"/>
      <c r="L162" s="2913"/>
      <c r="M162" s="2913"/>
      <c r="N162" s="2913"/>
      <c r="O162" s="2915"/>
      <c r="P162" s="3213">
        <v>0</v>
      </c>
      <c r="Q162" s="651">
        <f t="shared" si="119"/>
        <v>4</v>
      </c>
      <c r="R162" s="714">
        <f t="shared" si="128"/>
        <v>0</v>
      </c>
      <c r="S162" s="3232"/>
      <c r="T162" s="3260">
        <f t="shared" si="120"/>
        <v>0</v>
      </c>
      <c r="U162" s="619">
        <f t="shared" si="113"/>
        <v>0</v>
      </c>
      <c r="V162" s="620"/>
      <c r="W162" s="554"/>
      <c r="X162" s="786">
        <f>採点LR2!K196</f>
        <v>4</v>
      </c>
      <c r="Y162" s="3261"/>
      <c r="AA162" s="641">
        <f t="shared" si="138"/>
        <v>4</v>
      </c>
      <c r="AB162" s="622">
        <f>重み!D162</f>
        <v>0</v>
      </c>
      <c r="AC162" s="641">
        <f t="shared" si="139"/>
        <v>0</v>
      </c>
      <c r="AD162" s="622">
        <f>重み!E162</f>
        <v>0</v>
      </c>
      <c r="AE162" s="601"/>
      <c r="AF162" s="554"/>
      <c r="AG162" s="582">
        <f>重み!M162</f>
        <v>0</v>
      </c>
      <c r="AH162" s="568"/>
      <c r="AI162" s="582">
        <f>重み!N162</f>
        <v>0</v>
      </c>
      <c r="BM162" s="1"/>
      <c r="BN162" s="1"/>
      <c r="BO162" s="2895"/>
    </row>
    <row r="163" spans="2:67" s="2445" customFormat="1" hidden="1">
      <c r="B163" s="2922"/>
      <c r="C163" s="3291"/>
      <c r="D163" s="3292">
        <v>5</v>
      </c>
      <c r="E163" s="3289" t="s">
        <v>4072</v>
      </c>
      <c r="F163" s="3290"/>
      <c r="G163" s="3303"/>
      <c r="H163" s="3298"/>
      <c r="I163" s="2920"/>
      <c r="J163" s="2921"/>
      <c r="K163" s="2912"/>
      <c r="L163" s="2913"/>
      <c r="M163" s="2913"/>
      <c r="N163" s="2913"/>
      <c r="O163" s="2915"/>
      <c r="P163" s="3213">
        <v>0</v>
      </c>
      <c r="Q163" s="651">
        <f t="shared" si="119"/>
        <v>5</v>
      </c>
      <c r="R163" s="714">
        <f t="shared" si="128"/>
        <v>0</v>
      </c>
      <c r="S163" s="3232"/>
      <c r="T163" s="3260">
        <f t="shared" si="120"/>
        <v>0</v>
      </c>
      <c r="U163" s="619">
        <f t="shared" si="113"/>
        <v>0</v>
      </c>
      <c r="V163" s="620"/>
      <c r="W163" s="554"/>
      <c r="X163" s="786">
        <f>採点LR2!F205</f>
        <v>5</v>
      </c>
      <c r="Y163" s="3261"/>
      <c r="AA163" s="641">
        <f t="shared" si="138"/>
        <v>5</v>
      </c>
      <c r="AB163" s="622">
        <f>重み!D163</f>
        <v>0</v>
      </c>
      <c r="AC163" s="641">
        <f t="shared" si="139"/>
        <v>0</v>
      </c>
      <c r="AD163" s="622">
        <f>重み!E163</f>
        <v>0</v>
      </c>
      <c r="AE163" s="601"/>
      <c r="AF163" s="554"/>
      <c r="AG163" s="582">
        <f>重み!M163</f>
        <v>0</v>
      </c>
      <c r="AH163" s="568"/>
      <c r="AI163" s="582">
        <f>重み!N163</f>
        <v>0</v>
      </c>
      <c r="BM163" s="1"/>
      <c r="BN163" s="1"/>
      <c r="BO163" s="2895"/>
    </row>
    <row r="164" spans="2:67" s="2445" customFormat="1" hidden="1">
      <c r="B164" s="2922"/>
      <c r="C164" s="3291"/>
      <c r="D164" s="3292">
        <v>6</v>
      </c>
      <c r="E164" s="3289" t="s">
        <v>4073</v>
      </c>
      <c r="F164" s="3290"/>
      <c r="G164" s="3303"/>
      <c r="H164" s="3298"/>
      <c r="I164" s="2920"/>
      <c r="J164" s="2921"/>
      <c r="K164" s="2912"/>
      <c r="L164" s="2913"/>
      <c r="M164" s="2913"/>
      <c r="N164" s="2913"/>
      <c r="O164" s="2915"/>
      <c r="P164" s="3213">
        <v>0</v>
      </c>
      <c r="Q164" s="651">
        <f t="shared" si="119"/>
        <v>5</v>
      </c>
      <c r="R164" s="714">
        <f t="shared" si="128"/>
        <v>0</v>
      </c>
      <c r="S164" s="3232"/>
      <c r="T164" s="3260">
        <f t="shared" si="120"/>
        <v>0</v>
      </c>
      <c r="U164" s="619">
        <f t="shared" si="113"/>
        <v>0</v>
      </c>
      <c r="V164" s="620"/>
      <c r="W164" s="554"/>
      <c r="X164" s="786">
        <f>採点LR2!K205</f>
        <v>5</v>
      </c>
      <c r="Y164" s="3261"/>
      <c r="AA164" s="641">
        <f t="shared" si="138"/>
        <v>5</v>
      </c>
      <c r="AB164" s="622">
        <f>重み!D164</f>
        <v>0</v>
      </c>
      <c r="AC164" s="641">
        <f t="shared" si="139"/>
        <v>0</v>
      </c>
      <c r="AD164" s="622">
        <f>重み!E164</f>
        <v>0</v>
      </c>
      <c r="AE164" s="601"/>
      <c r="AF164" s="554"/>
      <c r="AG164" s="582">
        <f>重み!M164</f>
        <v>0</v>
      </c>
      <c r="AH164" s="568"/>
      <c r="AI164" s="582">
        <f>重み!N164</f>
        <v>0</v>
      </c>
      <c r="BM164" s="1"/>
      <c r="BN164" s="1"/>
      <c r="BO164" s="2895"/>
    </row>
    <row r="165" spans="2:67" s="2445" customFormat="1" ht="14.25" hidden="1" thickBot="1">
      <c r="B165" s="2922"/>
      <c r="C165" s="3293">
        <v>2.7</v>
      </c>
      <c r="D165" s="3288" t="s">
        <v>4074</v>
      </c>
      <c r="E165" s="3289"/>
      <c r="F165" s="3290"/>
      <c r="G165" s="3303"/>
      <c r="H165" s="3298"/>
      <c r="I165" s="2920"/>
      <c r="J165" s="2921"/>
      <c r="K165" s="2912"/>
      <c r="L165" s="2913"/>
      <c r="M165" s="2913"/>
      <c r="N165" s="2913"/>
      <c r="O165" s="2915"/>
      <c r="P165" s="3215">
        <v>0</v>
      </c>
      <c r="Q165" s="644">
        <f t="shared" si="119"/>
        <v>5</v>
      </c>
      <c r="R165" s="714">
        <f t="shared" si="128"/>
        <v>0</v>
      </c>
      <c r="S165" s="3232"/>
      <c r="T165" s="3260">
        <f t="shared" si="120"/>
        <v>0</v>
      </c>
      <c r="U165" s="619">
        <f t="shared" si="113"/>
        <v>0</v>
      </c>
      <c r="V165" s="620"/>
      <c r="W165" s="554"/>
      <c r="X165" s="3270">
        <f>採点LR2!F227</f>
        <v>5</v>
      </c>
      <c r="Y165" s="3240"/>
      <c r="AA165" s="3200">
        <f>IF($AA$3=4,P165,X165)</f>
        <v>5</v>
      </c>
      <c r="AB165" s="622">
        <f>重み!D165</f>
        <v>0</v>
      </c>
      <c r="AC165" s="3200">
        <f>IF($AA$3=4,S165,Y165)</f>
        <v>0</v>
      </c>
      <c r="AD165" s="622">
        <f>重み!E165</f>
        <v>0</v>
      </c>
      <c r="AE165" s="601"/>
      <c r="AF165" s="554"/>
      <c r="AG165" s="582">
        <f>重み!M165</f>
        <v>0</v>
      </c>
      <c r="AH165" s="568"/>
      <c r="AI165" s="582">
        <f>重み!N165</f>
        <v>0</v>
      </c>
      <c r="AU165" s="2404">
        <f t="shared" ref="AU165" si="140">ROUNDDOWN(AY165,1)</f>
        <v>0</v>
      </c>
      <c r="BM165" s="1"/>
      <c r="BN165" s="1"/>
      <c r="BO165" s="2895"/>
    </row>
    <row r="166" spans="2:67" ht="14.25" thickBot="1">
      <c r="B166" s="769">
        <v>3</v>
      </c>
      <c r="C166" s="2403" t="s">
        <v>1060</v>
      </c>
      <c r="D166" s="730"/>
      <c r="E166" s="628"/>
      <c r="F166" s="670"/>
      <c r="G166" s="3334"/>
      <c r="H166" s="3355"/>
      <c r="I166" s="2461"/>
      <c r="J166" s="2462"/>
      <c r="K166" s="2845"/>
      <c r="L166" s="2846"/>
      <c r="M166" s="2846"/>
      <c r="N166" s="2846"/>
      <c r="O166" s="2847"/>
      <c r="P166" s="680">
        <f>ROUNDDOWN(AA166,1)</f>
        <v>3.2</v>
      </c>
      <c r="Q166" s="680">
        <f t="shared" si="119"/>
        <v>3.2</v>
      </c>
      <c r="R166" s="660">
        <f>AB166</f>
        <v>0.2</v>
      </c>
      <c r="S166" s="3250">
        <f>ROUNDDOWN(AC166,1)</f>
        <v>0</v>
      </c>
      <c r="T166" s="3265">
        <f t="shared" si="120"/>
        <v>0</v>
      </c>
      <c r="U166" s="661">
        <f t="shared" si="113"/>
        <v>0</v>
      </c>
      <c r="V166" s="662">
        <f>ROUNDDOWN(AE166,1)</f>
        <v>3.2</v>
      </c>
      <c r="W166" s="554"/>
      <c r="X166" s="790"/>
      <c r="Y166" s="3240"/>
      <c r="Z166" s="2445"/>
      <c r="AA166" s="3202">
        <f>AA167*AB167+AA168*AB168</f>
        <v>3.2333333333333334</v>
      </c>
      <c r="AB166" s="622">
        <f>重み!D166</f>
        <v>0.2</v>
      </c>
      <c r="AC166" s="3202">
        <f>AC167*AD167+AC168*AD168</f>
        <v>0</v>
      </c>
      <c r="AD166" s="623">
        <f>SUM(AD167,AD168)</f>
        <v>0</v>
      </c>
      <c r="AE166" s="3272">
        <f>IF(AC166=0,AA166,IF(AA166=0,AC166,AA166*AG$6+AC166*AI$6))</f>
        <v>3.2333333333333334</v>
      </c>
      <c r="AF166" s="554"/>
      <c r="AG166" s="582">
        <f>重み!M166</f>
        <v>0.2</v>
      </c>
      <c r="AH166" s="568"/>
      <c r="AI166" s="623">
        <f>SUM(AI167,AI168)</f>
        <v>0</v>
      </c>
      <c r="AJ166" s="2445"/>
      <c r="AK166" s="3211">
        <v>3</v>
      </c>
      <c r="AL166" s="3211"/>
      <c r="AM166" s="3211"/>
      <c r="AN166" s="3211"/>
      <c r="AO166" s="3211"/>
      <c r="AP166" s="3211">
        <v>4</v>
      </c>
      <c r="AQ166" s="3211"/>
      <c r="AR166" s="3211"/>
      <c r="AS166" s="3211"/>
      <c r="AT166" s="3211"/>
      <c r="AU166" s="2385">
        <f t="shared" si="126"/>
        <v>3</v>
      </c>
      <c r="AV166" s="799">
        <f>R166</f>
        <v>0.2</v>
      </c>
      <c r="AW166" s="662"/>
      <c r="AX166" s="2359"/>
      <c r="AY166" s="2384">
        <f>SUMPRODUCT($BB$7:$BK$7,AK166:AT166)/BA166</f>
        <v>3</v>
      </c>
      <c r="BA166" s="2383">
        <f>SUMPRODUCT($BB$7:$BK$7,BB166:BK166)</f>
        <v>0.98425196850393704</v>
      </c>
      <c r="BB166" s="2369">
        <f t="shared" ref="BB166:BK166" si="141">IF(AK166&gt;0,1,0)</f>
        <v>1</v>
      </c>
      <c r="BC166" s="2369">
        <f t="shared" si="141"/>
        <v>0</v>
      </c>
      <c r="BD166" s="2369">
        <f t="shared" si="141"/>
        <v>0</v>
      </c>
      <c r="BE166" s="2369">
        <f t="shared" si="141"/>
        <v>0</v>
      </c>
      <c r="BF166" s="2369">
        <f t="shared" si="141"/>
        <v>0</v>
      </c>
      <c r="BG166" s="2369">
        <f t="shared" si="141"/>
        <v>1</v>
      </c>
      <c r="BH166" s="2369">
        <f t="shared" si="141"/>
        <v>0</v>
      </c>
      <c r="BI166" s="2369">
        <f t="shared" si="141"/>
        <v>0</v>
      </c>
      <c r="BJ166" s="2369">
        <f t="shared" si="141"/>
        <v>0</v>
      </c>
      <c r="BK166" s="2369">
        <f t="shared" si="141"/>
        <v>0</v>
      </c>
      <c r="BM166" s="1"/>
      <c r="BN166" s="1"/>
      <c r="BO166" s="2895"/>
    </row>
    <row r="167" spans="2:67" ht="14.25" thickBot="1">
      <c r="B167" s="685"/>
      <c r="C167" s="655">
        <v>3.1</v>
      </c>
      <c r="D167" s="730" t="s">
        <v>1061</v>
      </c>
      <c r="E167" s="628"/>
      <c r="F167" s="670"/>
      <c r="G167" s="3304"/>
      <c r="H167" s="3353"/>
      <c r="I167" s="2459"/>
      <c r="J167" s="2460"/>
      <c r="K167" s="3614"/>
      <c r="L167" s="3615"/>
      <c r="M167" s="3615"/>
      <c r="N167" s="3615"/>
      <c r="O167" s="3616"/>
      <c r="P167" s="3257">
        <v>3</v>
      </c>
      <c r="Q167" s="768">
        <f t="shared" si="119"/>
        <v>3</v>
      </c>
      <c r="R167" s="714">
        <f t="shared" si="128"/>
        <v>0.3</v>
      </c>
      <c r="S167" s="3232"/>
      <c r="T167" s="3260">
        <f t="shared" si="120"/>
        <v>0</v>
      </c>
      <c r="U167" s="619">
        <f t="shared" si="113"/>
        <v>0</v>
      </c>
      <c r="V167" s="620"/>
      <c r="W167" s="554"/>
      <c r="X167" s="791">
        <f>採点LR2!F247</f>
        <v>3</v>
      </c>
      <c r="Y167" s="3240"/>
      <c r="Z167" s="2445"/>
      <c r="AA167" s="3200">
        <f>IF($AA$3=4,P167,X167)</f>
        <v>3</v>
      </c>
      <c r="AB167" s="622">
        <f>重み!D167</f>
        <v>0.3</v>
      </c>
      <c r="AC167" s="3200">
        <f>IF($AA$3=4,S167,Y167)</f>
        <v>0</v>
      </c>
      <c r="AD167" s="622">
        <f>重み!E167</f>
        <v>0</v>
      </c>
      <c r="AE167" s="601"/>
      <c r="AF167" s="554"/>
      <c r="AG167" s="582">
        <f>重み!M167</f>
        <v>0.3</v>
      </c>
      <c r="AH167" s="568"/>
      <c r="AI167" s="582">
        <f>重み!N167</f>
        <v>0</v>
      </c>
      <c r="AJ167" s="2445"/>
      <c r="AK167" s="2445"/>
      <c r="AL167" s="2445"/>
      <c r="AM167" s="2445"/>
      <c r="AN167" s="2445"/>
      <c r="AO167" s="2445"/>
      <c r="AP167" s="2445"/>
      <c r="AQ167" s="2445"/>
      <c r="AR167" s="2445"/>
      <c r="AS167" s="2445"/>
      <c r="AT167" s="2445"/>
      <c r="AU167" s="2445"/>
      <c r="BM167" s="1" t="s">
        <v>4115</v>
      </c>
      <c r="BN167" s="1">
        <f>IF(AND(ISERROR(Q167)=FALSE,ISERROR(R167)=FALSE,ISERROR(T167)=FALSE,ISERROR(U167)=FALSE),IF(OR(AND(Q167&gt;3,R167&gt;0),AND(T167&gt;3,U167&gt;0)),MAX(Q167,T167),0),0)</f>
        <v>0</v>
      </c>
      <c r="BO167" s="2895" t="str">
        <f>IF(K167=0,"",K167)</f>
        <v/>
      </c>
    </row>
    <row r="168" spans="2:67" ht="14.25" thickBot="1">
      <c r="B168" s="685"/>
      <c r="C168" s="626">
        <v>3.2</v>
      </c>
      <c r="D168" s="730" t="s">
        <v>1062</v>
      </c>
      <c r="E168" s="627"/>
      <c r="F168" s="665"/>
      <c r="G168" s="3303"/>
      <c r="H168" s="3354"/>
      <c r="I168" s="2459"/>
      <c r="J168" s="2460"/>
      <c r="K168" s="2842"/>
      <c r="L168" s="2843"/>
      <c r="M168" s="2843"/>
      <c r="N168" s="2843"/>
      <c r="O168" s="2869"/>
      <c r="P168" s="3196">
        <f>ROUNDDOWN(AA168,1)</f>
        <v>3.3</v>
      </c>
      <c r="Q168" s="680">
        <f t="shared" si="119"/>
        <v>3.3</v>
      </c>
      <c r="R168" s="618">
        <f>AB168</f>
        <v>0.7</v>
      </c>
      <c r="S168" s="3230">
        <f>ROUNDDOWN(AC168,1)</f>
        <v>0</v>
      </c>
      <c r="T168" s="3264">
        <f t="shared" si="120"/>
        <v>0</v>
      </c>
      <c r="U168" s="748">
        <f t="shared" si="113"/>
        <v>0</v>
      </c>
      <c r="V168" s="620"/>
      <c r="W168" s="554"/>
      <c r="X168" s="792"/>
      <c r="Y168" s="3240"/>
      <c r="Z168" s="2445"/>
      <c r="AA168" s="621">
        <f>SUMPRODUCT(AA169:AA171,AB169:AB171)</f>
        <v>3.3333333333333335</v>
      </c>
      <c r="AB168" s="622">
        <f>重み!D168</f>
        <v>0.7</v>
      </c>
      <c r="AC168" s="621">
        <f>SUMPRODUCT(AC169:AC171,AD169:AD171)</f>
        <v>0</v>
      </c>
      <c r="AD168" s="622">
        <f>重み!E168</f>
        <v>0</v>
      </c>
      <c r="AE168" s="601"/>
      <c r="AF168" s="554"/>
      <c r="AG168" s="582">
        <f>重み!M168</f>
        <v>0.7</v>
      </c>
      <c r="AH168" s="568"/>
      <c r="AI168" s="582">
        <f>重み!N168</f>
        <v>0</v>
      </c>
      <c r="AJ168" s="2445"/>
      <c r="AK168" s="2445"/>
      <c r="AL168" s="2445"/>
      <c r="AM168" s="2445"/>
      <c r="AN168" s="2445"/>
      <c r="AO168" s="2445"/>
      <c r="AP168" s="2445"/>
      <c r="AQ168" s="2445"/>
      <c r="AR168" s="2445"/>
      <c r="AS168" s="2445"/>
      <c r="AT168" s="2445"/>
      <c r="AU168" s="2445"/>
      <c r="BM168" s="1"/>
      <c r="BN168" s="1"/>
      <c r="BO168" s="2895"/>
    </row>
    <row r="169" spans="2:67">
      <c r="B169" s="685"/>
      <c r="C169" s="633"/>
      <c r="D169" s="634">
        <v>1</v>
      </c>
      <c r="E169" s="628" t="s">
        <v>111</v>
      </c>
      <c r="F169" s="670"/>
      <c r="G169" s="3304"/>
      <c r="H169" s="3353"/>
      <c r="I169" s="2459"/>
      <c r="J169" s="2460"/>
      <c r="K169" s="3614"/>
      <c r="L169" s="3615"/>
      <c r="M169" s="3615"/>
      <c r="N169" s="3615"/>
      <c r="O169" s="3616"/>
      <c r="P169" s="3212">
        <v>0</v>
      </c>
      <c r="Q169" s="637">
        <f t="shared" si="119"/>
        <v>4</v>
      </c>
      <c r="R169" s="714">
        <f t="shared" si="128"/>
        <v>0.33333333333333337</v>
      </c>
      <c r="S169" s="3232"/>
      <c r="T169" s="3260">
        <f t="shared" si="120"/>
        <v>0</v>
      </c>
      <c r="U169" s="619">
        <f t="shared" si="113"/>
        <v>0</v>
      </c>
      <c r="V169" s="620"/>
      <c r="W169" s="554"/>
      <c r="X169" s="786">
        <f>採点LR2!F281</f>
        <v>4</v>
      </c>
      <c r="Y169" s="3261"/>
      <c r="Z169" s="2445"/>
      <c r="AA169" s="641">
        <f t="shared" ref="AA169:AA171" si="142">IF($AA$3=4,P169,X169)</f>
        <v>4</v>
      </c>
      <c r="AB169" s="622">
        <f>重み!D169</f>
        <v>0.33333333333333337</v>
      </c>
      <c r="AC169" s="641">
        <f t="shared" ref="AC169:AC171" si="143">IF($AA$3=4,S169,Y169)</f>
        <v>0</v>
      </c>
      <c r="AD169" s="622">
        <f>重み!E169</f>
        <v>0</v>
      </c>
      <c r="AE169" s="601"/>
      <c r="AF169" s="554"/>
      <c r="AG169" s="582">
        <f>重み!M169</f>
        <v>0.33333333333333337</v>
      </c>
      <c r="AH169" s="568"/>
      <c r="AI169" s="582">
        <f>重み!N169</f>
        <v>0</v>
      </c>
      <c r="AJ169" s="2445"/>
      <c r="AK169" s="2445"/>
      <c r="AL169" s="2445"/>
      <c r="AM169" s="2445"/>
      <c r="AN169" s="2445"/>
      <c r="AO169" s="2445"/>
      <c r="AP169" s="2445"/>
      <c r="AQ169" s="2445"/>
      <c r="AR169" s="2445"/>
      <c r="AS169" s="2445"/>
      <c r="AT169" s="2445"/>
      <c r="AU169" s="2445"/>
      <c r="BM169" s="1" t="s">
        <v>4116</v>
      </c>
      <c r="BN169" s="1">
        <f t="shared" ref="BN169:BN171" si="144">IF(AND(ISERROR(Q169)=FALSE,ISERROR(R169)=FALSE,ISERROR(T169)=FALSE,ISERROR(U169)=FALSE),IF(OR(AND(Q169&gt;3,R169&gt;0),AND(T169&gt;3,U169&gt;0)),MAX(Q169,T169),0),0)</f>
        <v>4</v>
      </c>
      <c r="BO169" s="2895" t="str">
        <f>IF(K169=0,"",K169)</f>
        <v/>
      </c>
    </row>
    <row r="170" spans="2:67">
      <c r="B170" s="685"/>
      <c r="C170" s="633"/>
      <c r="D170" s="634">
        <v>2</v>
      </c>
      <c r="E170" s="628" t="s">
        <v>112</v>
      </c>
      <c r="F170" s="670"/>
      <c r="G170" s="3304"/>
      <c r="H170" s="3353"/>
      <c r="I170" s="2459"/>
      <c r="J170" s="2460"/>
      <c r="K170" s="3614"/>
      <c r="L170" s="3615"/>
      <c r="M170" s="3615"/>
      <c r="N170" s="3615"/>
      <c r="O170" s="3616"/>
      <c r="P170" s="3213">
        <v>0</v>
      </c>
      <c r="Q170" s="651">
        <f t="shared" si="119"/>
        <v>3</v>
      </c>
      <c r="R170" s="714">
        <f t="shared" si="128"/>
        <v>0.33333333333333337</v>
      </c>
      <c r="S170" s="3232"/>
      <c r="T170" s="3260">
        <f t="shared" si="120"/>
        <v>0</v>
      </c>
      <c r="U170" s="619">
        <f t="shared" si="113"/>
        <v>0</v>
      </c>
      <c r="V170" s="620"/>
      <c r="W170" s="554"/>
      <c r="X170" s="786">
        <f>採点LR2!K281</f>
        <v>3</v>
      </c>
      <c r="Y170" s="3261"/>
      <c r="Z170" s="2445"/>
      <c r="AA170" s="641">
        <f t="shared" si="142"/>
        <v>3</v>
      </c>
      <c r="AB170" s="622">
        <f>重み!D170</f>
        <v>0.33333333333333337</v>
      </c>
      <c r="AC170" s="641">
        <f t="shared" si="143"/>
        <v>0</v>
      </c>
      <c r="AD170" s="622">
        <f>重み!E170</f>
        <v>0</v>
      </c>
      <c r="AE170" s="601"/>
      <c r="AF170" s="554"/>
      <c r="AG170" s="582">
        <f>重み!M170</f>
        <v>0.33333333333333337</v>
      </c>
      <c r="AH170" s="568"/>
      <c r="AI170" s="582">
        <f>重み!N170</f>
        <v>0</v>
      </c>
      <c r="AJ170" s="2445"/>
      <c r="AK170" s="2445"/>
      <c r="AL170" s="2445"/>
      <c r="AM170" s="2445"/>
      <c r="AN170" s="2445"/>
      <c r="AO170" s="2445"/>
      <c r="AP170" s="2445"/>
      <c r="AQ170" s="2445"/>
      <c r="AR170" s="2445"/>
      <c r="AS170" s="2445"/>
      <c r="AT170" s="2445"/>
      <c r="AU170" s="2445"/>
      <c r="BM170" s="1" t="s">
        <v>4117</v>
      </c>
      <c r="BN170" s="1">
        <f t="shared" si="144"/>
        <v>0</v>
      </c>
      <c r="BO170" s="2895" t="str">
        <f>IF(K170=0,"",K170)</f>
        <v/>
      </c>
    </row>
    <row r="171" spans="2:67" ht="14.25" thickBot="1">
      <c r="B171" s="793"/>
      <c r="C171" s="691"/>
      <c r="D171" s="732">
        <v>3</v>
      </c>
      <c r="E171" s="692" t="s">
        <v>113</v>
      </c>
      <c r="F171" s="693"/>
      <c r="G171" s="3357"/>
      <c r="H171" s="3353"/>
      <c r="I171" s="2459"/>
      <c r="J171" s="2460"/>
      <c r="K171" s="3614"/>
      <c r="L171" s="3615"/>
      <c r="M171" s="3615"/>
      <c r="N171" s="3615"/>
      <c r="O171" s="3616"/>
      <c r="P171" s="3215">
        <v>3</v>
      </c>
      <c r="Q171" s="644">
        <f t="shared" si="119"/>
        <v>3</v>
      </c>
      <c r="R171" s="733">
        <f t="shared" si="128"/>
        <v>0.33333333333333337</v>
      </c>
      <c r="S171" s="3242"/>
      <c r="T171" s="3273">
        <f t="shared" si="120"/>
        <v>0</v>
      </c>
      <c r="U171" s="734">
        <f t="shared" si="113"/>
        <v>0</v>
      </c>
      <c r="V171" s="694"/>
      <c r="W171" s="554"/>
      <c r="X171" s="789">
        <f>採点LR2!F290</f>
        <v>3</v>
      </c>
      <c r="Y171" s="3240"/>
      <c r="Z171" s="2445"/>
      <c r="AA171" s="641">
        <f t="shared" si="142"/>
        <v>3</v>
      </c>
      <c r="AB171" s="622">
        <f>重み!D171</f>
        <v>0.33333333333333337</v>
      </c>
      <c r="AC171" s="641">
        <f t="shared" si="143"/>
        <v>0</v>
      </c>
      <c r="AD171" s="622">
        <f>重み!E171</f>
        <v>0</v>
      </c>
      <c r="AE171" s="601"/>
      <c r="AF171" s="554"/>
      <c r="AG171" s="582">
        <f>重み!M171</f>
        <v>0.33333333333333337</v>
      </c>
      <c r="AH171" s="568"/>
      <c r="AI171" s="582">
        <f>重み!N171</f>
        <v>0</v>
      </c>
      <c r="AJ171" s="2445"/>
      <c r="AK171" s="2445"/>
      <c r="AL171" s="2445"/>
      <c r="AM171" s="2445"/>
      <c r="AN171" s="2445"/>
      <c r="AO171" s="2445"/>
      <c r="AP171" s="2445"/>
      <c r="AQ171" s="2445"/>
      <c r="AR171" s="2445"/>
      <c r="AS171" s="2445"/>
      <c r="AT171" s="2445"/>
      <c r="AU171" s="2445"/>
      <c r="BM171" s="1" t="s">
        <v>4118</v>
      </c>
      <c r="BN171" s="1">
        <f t="shared" si="144"/>
        <v>0</v>
      </c>
      <c r="BO171" s="2895" t="str">
        <f>IF(K171=0,"",K171)</f>
        <v/>
      </c>
    </row>
    <row r="172" spans="2:67" ht="15.75" thickBot="1">
      <c r="B172" s="696" t="s">
        <v>1585</v>
      </c>
      <c r="C172" s="735" t="s">
        <v>1586</v>
      </c>
      <c r="D172" s="735"/>
      <c r="E172" s="735"/>
      <c r="F172" s="736"/>
      <c r="G172" s="3315"/>
      <c r="H172" s="3315"/>
      <c r="I172" s="2482"/>
      <c r="J172" s="2483"/>
      <c r="K172" s="2851"/>
      <c r="L172" s="2852"/>
      <c r="M172" s="2852"/>
      <c r="N172" s="2852"/>
      <c r="O172" s="2853"/>
      <c r="P172" s="794"/>
      <c r="Q172" s="794">
        <f t="shared" si="119"/>
        <v>0</v>
      </c>
      <c r="R172" s="701" t="e">
        <f t="shared" si="128"/>
        <v>#DIV/0!</v>
      </c>
      <c r="S172" s="702"/>
      <c r="T172" s="3267">
        <f t="shared" si="120"/>
        <v>0</v>
      </c>
      <c r="U172" s="703">
        <f t="shared" si="113"/>
        <v>0</v>
      </c>
      <c r="V172" s="704" t="e">
        <f>ROUNDDOWN(AE172,1)</f>
        <v>#VALUE!</v>
      </c>
      <c r="W172" s="554"/>
      <c r="X172" s="792"/>
      <c r="Y172" s="3240"/>
      <c r="Z172" s="2445"/>
      <c r="AA172" s="675"/>
      <c r="AB172" s="610" t="e">
        <f>重み!D172</f>
        <v>#DIV/0!</v>
      </c>
      <c r="AC172" s="675"/>
      <c r="AD172" s="610"/>
      <c r="AE172" s="601" t="e">
        <f>AB173*AE173+AB174*AE174+AB183*AE183</f>
        <v>#VALUE!</v>
      </c>
      <c r="AF172" s="554"/>
      <c r="AG172" s="582">
        <f>重み!M172</f>
        <v>0.3</v>
      </c>
      <c r="AH172" s="568"/>
      <c r="AI172" s="582">
        <f>重み!N172</f>
        <v>0</v>
      </c>
      <c r="AJ172" s="2445"/>
      <c r="AK172" s="3244"/>
      <c r="AL172" s="3221"/>
      <c r="AM172" s="3221"/>
      <c r="AN172" s="3221"/>
      <c r="AO172" s="3221"/>
      <c r="AP172" s="3221"/>
      <c r="AQ172" s="3221"/>
      <c r="AR172" s="3221"/>
      <c r="AS172" s="3221"/>
      <c r="AT172" s="3222"/>
      <c r="AU172" s="2391"/>
      <c r="AV172" s="2392" t="e">
        <f>R172</f>
        <v>#DIV/0!</v>
      </c>
      <c r="AW172" s="704" t="e">
        <f t="shared" ref="AW172" si="145">ROUNDDOWN(AY172,1)</f>
        <v>#VALUE!</v>
      </c>
      <c r="AY172" s="2384" t="e">
        <f>SUMPRODUCT(AV173:AV194,AY173:AY194)</f>
        <v>#VALUE!</v>
      </c>
      <c r="BM172" s="1"/>
      <c r="BN172" s="1"/>
      <c r="BO172" s="2895"/>
    </row>
    <row r="173" spans="2:67" ht="14.25" thickBot="1">
      <c r="B173" s="795">
        <v>1</v>
      </c>
      <c r="C173" s="614" t="s">
        <v>529</v>
      </c>
      <c r="D173" s="742"/>
      <c r="E173" s="742"/>
      <c r="F173" s="688"/>
      <c r="G173" s="3325"/>
      <c r="H173" s="3325"/>
      <c r="I173" s="2504"/>
      <c r="J173" s="2505"/>
      <c r="K173" s="3614"/>
      <c r="L173" s="3615"/>
      <c r="M173" s="3615"/>
      <c r="N173" s="3615"/>
      <c r="O173" s="3616"/>
      <c r="P173" s="3257">
        <v>0</v>
      </c>
      <c r="Q173" s="768" t="e">
        <f t="shared" si="119"/>
        <v>#VALUE!</v>
      </c>
      <c r="R173" s="714" t="e">
        <f>AB173</f>
        <v>#VALUE!</v>
      </c>
      <c r="S173" s="3230"/>
      <c r="T173" s="3264">
        <f t="shared" si="120"/>
        <v>0</v>
      </c>
      <c r="U173" s="619">
        <f t="shared" si="113"/>
        <v>0</v>
      </c>
      <c r="V173" s="620" t="e">
        <f>ROUNDDOWN(AE173,1)</f>
        <v>#VALUE!</v>
      </c>
      <c r="W173" s="554"/>
      <c r="X173" s="786" t="e">
        <f>採点LR3!F7</f>
        <v>#VALUE!</v>
      </c>
      <c r="Y173" s="3261"/>
      <c r="Z173" s="2445"/>
      <c r="AA173" s="3246" t="e">
        <f>IF($AA$3=4,P173,X173)</f>
        <v>#VALUE!</v>
      </c>
      <c r="AB173" s="622" t="e">
        <f>重み!D173</f>
        <v>#VALUE!</v>
      </c>
      <c r="AC173" s="3246">
        <f>IF($AA$3=4,S173,Y173)</f>
        <v>0</v>
      </c>
      <c r="AD173" s="622">
        <f>重み!E173</f>
        <v>0</v>
      </c>
      <c r="AE173" s="601" t="e">
        <f>IF(AC173=0,AA173,IF(AA173=0,AC173,AA173*AG$6+AC173*AI$6))</f>
        <v>#VALUE!</v>
      </c>
      <c r="AF173" s="554"/>
      <c r="AG173" s="582">
        <f>重み!M173</f>
        <v>0.33333333333333337</v>
      </c>
      <c r="AH173" s="568"/>
      <c r="AI173" s="582">
        <f>重み!N173</f>
        <v>0</v>
      </c>
      <c r="AJ173" s="2445"/>
      <c r="AK173" s="3211"/>
      <c r="AL173" s="3211"/>
      <c r="AM173" s="3211"/>
      <c r="AN173" s="3211"/>
      <c r="AO173" s="3211"/>
      <c r="AP173" s="3211">
        <v>4</v>
      </c>
      <c r="AQ173" s="3211"/>
      <c r="AR173" s="3211"/>
      <c r="AS173" s="3211"/>
      <c r="AT173" s="3211"/>
      <c r="AU173" s="2385" t="e">
        <f t="shared" ref="AU173:AU183" si="146">ROUNDDOWN(AY173,1)</f>
        <v>#VALUE!</v>
      </c>
      <c r="AV173" s="799" t="e">
        <f>R173</f>
        <v>#VALUE!</v>
      </c>
      <c r="AW173" s="662"/>
      <c r="AX173" s="2359"/>
      <c r="AY173" s="2405" t="e">
        <f>X173</f>
        <v>#VALUE!</v>
      </c>
      <c r="BA173" s="2383">
        <f>SUMPRODUCT($BB$7:$BK$7,BB173:BK173)</f>
        <v>0</v>
      </c>
      <c r="BB173" s="2369">
        <f t="shared" ref="BB173:BK174" si="147">IF(AK173&gt;0,1,0)</f>
        <v>0</v>
      </c>
      <c r="BC173" s="2369">
        <f t="shared" si="147"/>
        <v>0</v>
      </c>
      <c r="BD173" s="2369">
        <f t="shared" si="147"/>
        <v>0</v>
      </c>
      <c r="BE173" s="2369">
        <f t="shared" si="147"/>
        <v>0</v>
      </c>
      <c r="BF173" s="2369">
        <f t="shared" si="147"/>
        <v>0</v>
      </c>
      <c r="BG173" s="2369">
        <f t="shared" si="147"/>
        <v>1</v>
      </c>
      <c r="BH173" s="2369">
        <f t="shared" si="147"/>
        <v>0</v>
      </c>
      <c r="BI173" s="2369">
        <f t="shared" si="147"/>
        <v>0</v>
      </c>
      <c r="BJ173" s="2369">
        <f t="shared" si="147"/>
        <v>0</v>
      </c>
      <c r="BK173" s="2369">
        <f t="shared" si="147"/>
        <v>0</v>
      </c>
      <c r="BM173" s="1" t="s">
        <v>3257</v>
      </c>
      <c r="BN173" s="1">
        <f>IF(AND(ISERROR(Q173)=FALSE,ISERROR(R173)=FALSE,ISERROR(T173)=FALSE,ISERROR(U173)=FALSE),IF(OR(AND(Q173&gt;3,R173&gt;0),AND(T173&gt;3,U173&gt;0)),MAX(Q173,T173),0),0)</f>
        <v>0</v>
      </c>
      <c r="BO173" s="2895" t="str">
        <f>IF(K173=0,"",K173)</f>
        <v/>
      </c>
    </row>
    <row r="174" spans="2:67" ht="14.25" thickBot="1">
      <c r="B174" s="796">
        <v>2</v>
      </c>
      <c r="C174" s="657" t="s">
        <v>530</v>
      </c>
      <c r="D174" s="657"/>
      <c r="E174" s="657"/>
      <c r="F174" s="670"/>
      <c r="G174" s="3358"/>
      <c r="H174" s="3358"/>
      <c r="I174" s="2461"/>
      <c r="J174" s="2462"/>
      <c r="K174" s="2870"/>
      <c r="L174" s="2871"/>
      <c r="M174" s="2871"/>
      <c r="N174" s="2871"/>
      <c r="O174" s="2871"/>
      <c r="P174" s="797">
        <f>ROUNDDOWN(AA174,1)</f>
        <v>2.8</v>
      </c>
      <c r="Q174" s="797">
        <f t="shared" si="119"/>
        <v>2.8</v>
      </c>
      <c r="R174" s="798" t="e">
        <f>AB174</f>
        <v>#VALUE!</v>
      </c>
      <c r="S174" s="3265">
        <f>ROUNDDOWN(AC174,1)</f>
        <v>0</v>
      </c>
      <c r="T174" s="3251">
        <f t="shared" si="120"/>
        <v>0</v>
      </c>
      <c r="U174" s="799">
        <f t="shared" si="113"/>
        <v>0</v>
      </c>
      <c r="V174" s="662">
        <f>ROUNDDOWN(AE174,1)</f>
        <v>2.8</v>
      </c>
      <c r="W174" s="554"/>
      <c r="X174" s="800"/>
      <c r="Y174" s="3240"/>
      <c r="Z174" s="2445"/>
      <c r="AA174" s="3202">
        <f>SUMPRODUCT(AA175:AA177,AB175:AB177)+AA182*AB182</f>
        <v>2.875</v>
      </c>
      <c r="AB174" s="622" t="e">
        <f>重み!D174</f>
        <v>#VALUE!</v>
      </c>
      <c r="AC174" s="3202">
        <f>SUMPRODUCT(AC175:AC177,AD175:AD177)+AC182*AD182</f>
        <v>0</v>
      </c>
      <c r="AD174" s="623">
        <f>SUM(AD175,AD176:AD177)+AD182</f>
        <v>0</v>
      </c>
      <c r="AE174" s="601">
        <f>IF(AC174=0,AA174,IF(AA174=0,AC174,AA174*AG$6+AC174*AI$6))</f>
        <v>2.875</v>
      </c>
      <c r="AF174" s="554"/>
      <c r="AG174" s="582">
        <f>重み!M174</f>
        <v>0.33333333333333337</v>
      </c>
      <c r="AH174" s="568"/>
      <c r="AI174" s="623">
        <f>SUM(AI175,AI176:AI177)+AI182</f>
        <v>0</v>
      </c>
      <c r="AJ174" s="2445"/>
      <c r="AK174" s="3211">
        <v>3</v>
      </c>
      <c r="AL174" s="3211"/>
      <c r="AM174" s="3211"/>
      <c r="AN174" s="3211"/>
      <c r="AO174" s="3211"/>
      <c r="AP174" s="3211">
        <v>4</v>
      </c>
      <c r="AQ174" s="3211"/>
      <c r="AR174" s="3211"/>
      <c r="AS174" s="3211"/>
      <c r="AT174" s="3211"/>
      <c r="AU174" s="2385">
        <f t="shared" si="146"/>
        <v>3</v>
      </c>
      <c r="AV174" s="799" t="e">
        <f>R174</f>
        <v>#VALUE!</v>
      </c>
      <c r="AW174" s="662"/>
      <c r="AX174" s="2359"/>
      <c r="AY174" s="2384">
        <f>SUMPRODUCT($BB$7:$BK$7,AK174:AT174)/BA174</f>
        <v>3</v>
      </c>
      <c r="BA174" s="2383">
        <f>SUMPRODUCT($BB$7:$BK$7,BB174:BK174)</f>
        <v>0.98425196850393704</v>
      </c>
      <c r="BB174" s="2369">
        <f t="shared" si="147"/>
        <v>1</v>
      </c>
      <c r="BC174" s="2369">
        <f t="shared" si="147"/>
        <v>0</v>
      </c>
      <c r="BD174" s="2369">
        <f t="shared" si="147"/>
        <v>0</v>
      </c>
      <c r="BE174" s="2369">
        <f t="shared" si="147"/>
        <v>0</v>
      </c>
      <c r="BF174" s="2369">
        <f t="shared" si="147"/>
        <v>0</v>
      </c>
      <c r="BG174" s="2369">
        <f t="shared" si="147"/>
        <v>1</v>
      </c>
      <c r="BH174" s="2369">
        <f t="shared" si="147"/>
        <v>0</v>
      </c>
      <c r="BI174" s="2369">
        <f t="shared" si="147"/>
        <v>0</v>
      </c>
      <c r="BJ174" s="2369">
        <f t="shared" si="147"/>
        <v>0</v>
      </c>
      <c r="BK174" s="2369">
        <f t="shared" si="147"/>
        <v>0</v>
      </c>
      <c r="BM174" s="1"/>
      <c r="BN174" s="1"/>
      <c r="BO174" s="2895"/>
    </row>
    <row r="175" spans="2:67">
      <c r="B175" s="795"/>
      <c r="C175" s="655">
        <v>2.1</v>
      </c>
      <c r="D175" s="744" t="s">
        <v>531</v>
      </c>
      <c r="E175" s="742"/>
      <c r="F175" s="688"/>
      <c r="G175" s="3305"/>
      <c r="H175" s="3305"/>
      <c r="I175" s="2504"/>
      <c r="J175" s="2505"/>
      <c r="K175" s="3614"/>
      <c r="L175" s="3615"/>
      <c r="M175" s="3615"/>
      <c r="N175" s="3615"/>
      <c r="O175" s="3616"/>
      <c r="P175" s="3194">
        <v>0</v>
      </c>
      <c r="Q175" s="738">
        <f t="shared" si="119"/>
        <v>3</v>
      </c>
      <c r="R175" s="714">
        <f t="shared" si="128"/>
        <v>0.25</v>
      </c>
      <c r="S175" s="3230"/>
      <c r="T175" s="3264">
        <f t="shared" si="120"/>
        <v>0</v>
      </c>
      <c r="U175" s="619">
        <f t="shared" si="113"/>
        <v>0</v>
      </c>
      <c r="V175" s="620"/>
      <c r="W175" s="554"/>
      <c r="X175" s="786">
        <f>採点LR3!F22</f>
        <v>3</v>
      </c>
      <c r="Y175" s="3261"/>
      <c r="Z175" s="2445"/>
      <c r="AA175" s="3200">
        <f t="shared" ref="AA175:AA176" si="148">IF($AA$3=4,P175,X175)</f>
        <v>3</v>
      </c>
      <c r="AB175" s="622">
        <f>重み!D175</f>
        <v>0.25</v>
      </c>
      <c r="AC175" s="3200">
        <f t="shared" ref="AC175:AC176" si="149">IF($AA$3=4,S175,Y175)</f>
        <v>0</v>
      </c>
      <c r="AD175" s="622">
        <f>重み!E175</f>
        <v>0</v>
      </c>
      <c r="AE175" s="601"/>
      <c r="AF175" s="554"/>
      <c r="AG175" s="582">
        <f>重み!M175</f>
        <v>0.25</v>
      </c>
      <c r="AH175" s="568"/>
      <c r="AI175" s="582">
        <f>重み!N175</f>
        <v>0</v>
      </c>
      <c r="AJ175" s="2445"/>
      <c r="AK175" s="2445"/>
      <c r="AL175" s="2445"/>
      <c r="AM175" s="2445"/>
      <c r="AN175" s="2445"/>
      <c r="AO175" s="2445"/>
      <c r="AP175" s="2445"/>
      <c r="AQ175" s="2445"/>
      <c r="AR175" s="2445"/>
      <c r="AS175" s="2445"/>
      <c r="AT175" s="2445"/>
      <c r="AU175" s="2404">
        <f t="shared" si="146"/>
        <v>0</v>
      </c>
      <c r="BM175" s="1" t="s">
        <v>3258</v>
      </c>
      <c r="BN175" s="1">
        <f>IF(AND(ISERROR(Q175)=FALSE,ISERROR(R175)=FALSE,ISERROR(T175)=FALSE,ISERROR(U175)=FALSE),IF(OR(AND(Q175&gt;3,R175&gt;0),AND(T175&gt;3,U175&gt;0)),MAX(Q175,T175),0),0)</f>
        <v>0</v>
      </c>
      <c r="BO175" s="2895" t="str">
        <f>IF(K175=0,"",K175)</f>
        <v/>
      </c>
    </row>
    <row r="176" spans="2:67" ht="14.25" thickBot="1">
      <c r="B176" s="795"/>
      <c r="C176" s="655">
        <v>2.2000000000000002</v>
      </c>
      <c r="D176" s="744" t="s">
        <v>1587</v>
      </c>
      <c r="E176" s="657"/>
      <c r="F176" s="670"/>
      <c r="G176" s="3325"/>
      <c r="H176" s="3359"/>
      <c r="I176" s="2465" t="s">
        <v>2529</v>
      </c>
      <c r="J176" s="2466" t="s">
        <v>2518</v>
      </c>
      <c r="K176" s="3614"/>
      <c r="L176" s="3615"/>
      <c r="M176" s="3615"/>
      <c r="N176" s="3615"/>
      <c r="O176" s="3616"/>
      <c r="P176" s="3199">
        <v>0</v>
      </c>
      <c r="Q176" s="656">
        <f t="shared" si="119"/>
        <v>3</v>
      </c>
      <c r="R176" s="714">
        <f t="shared" si="128"/>
        <v>0.5</v>
      </c>
      <c r="S176" s="3230"/>
      <c r="T176" s="3264">
        <f t="shared" si="120"/>
        <v>0</v>
      </c>
      <c r="U176" s="748">
        <f t="shared" si="113"/>
        <v>0</v>
      </c>
      <c r="V176" s="620"/>
      <c r="W176" s="554"/>
      <c r="X176" s="789">
        <f>採点LR3!F31</f>
        <v>3</v>
      </c>
      <c r="Y176" s="3240"/>
      <c r="Z176" s="2445"/>
      <c r="AA176" s="3200">
        <f t="shared" si="148"/>
        <v>3</v>
      </c>
      <c r="AB176" s="622">
        <f>重み!D176</f>
        <v>0.5</v>
      </c>
      <c r="AC176" s="3200">
        <f t="shared" si="149"/>
        <v>0</v>
      </c>
      <c r="AD176" s="622">
        <f>重み!E176</f>
        <v>0</v>
      </c>
      <c r="AE176" s="601"/>
      <c r="AF176" s="554"/>
      <c r="AG176" s="582">
        <f>重み!M176</f>
        <v>0.5</v>
      </c>
      <c r="AH176" s="568"/>
      <c r="AI176" s="582">
        <f>重み!N176</f>
        <v>0</v>
      </c>
      <c r="AJ176" s="2445"/>
      <c r="AK176" s="2445"/>
      <c r="AL176" s="2445"/>
      <c r="AM176" s="2445"/>
      <c r="AN176" s="2445"/>
      <c r="AO176" s="2445"/>
      <c r="AP176" s="2445"/>
      <c r="AQ176" s="2445"/>
      <c r="AR176" s="2445"/>
      <c r="AS176" s="2445"/>
      <c r="AT176" s="2445"/>
      <c r="AU176" s="2404">
        <f t="shared" si="146"/>
        <v>0</v>
      </c>
      <c r="BM176" s="1" t="s">
        <v>3259</v>
      </c>
      <c r="BN176" s="1">
        <f>IF(AND(ISERROR(Q176)=FALSE,ISERROR(R176)=FALSE,ISERROR(T176)=FALSE,ISERROR(U176)=FALSE),IF(OR(AND(Q176&gt;3,R176&gt;0),AND(T176&gt;3,U176&gt;0)),MAX(Q176,T176),0),0)</f>
        <v>0</v>
      </c>
      <c r="BO176" s="2895" t="str">
        <f>IF(K176=0,"",K176)</f>
        <v/>
      </c>
    </row>
    <row r="177" spans="2:67" ht="14.25" thickBot="1">
      <c r="B177" s="795"/>
      <c r="C177" s="647">
        <v>2.2999999999999998</v>
      </c>
      <c r="D177" s="801" t="s">
        <v>532</v>
      </c>
      <c r="E177" s="614"/>
      <c r="F177" s="616"/>
      <c r="G177" s="3303"/>
      <c r="H177" s="3303"/>
      <c r="I177" s="2459"/>
      <c r="J177" s="2460"/>
      <c r="K177" s="2872"/>
      <c r="L177" s="2873"/>
      <c r="M177" s="2873"/>
      <c r="N177" s="2873"/>
      <c r="O177" s="2874"/>
      <c r="P177" s="797">
        <f>ROUNDDOWN(AA177,1)</f>
        <v>2.5</v>
      </c>
      <c r="Q177" s="797">
        <f t="shared" si="119"/>
        <v>2.5</v>
      </c>
      <c r="R177" s="802">
        <f>AB177</f>
        <v>0.25</v>
      </c>
      <c r="S177" s="3260">
        <f>ROUNDDOWN(AC177,1)</f>
        <v>0</v>
      </c>
      <c r="T177" s="3233">
        <f t="shared" si="120"/>
        <v>0</v>
      </c>
      <c r="U177" s="619">
        <f t="shared" si="113"/>
        <v>0</v>
      </c>
      <c r="V177" s="620"/>
      <c r="W177" s="554"/>
      <c r="X177" s="800"/>
      <c r="Y177" s="3240"/>
      <c r="Z177" s="2445"/>
      <c r="AA177" s="621">
        <f>SUMPRODUCT(AA178:AA181,AB178:AB181)</f>
        <v>2.5</v>
      </c>
      <c r="AB177" s="622">
        <f>重み!D177</f>
        <v>0.25</v>
      </c>
      <c r="AC177" s="621">
        <f>SUMPRODUCT(AC178:AC181,AD178:AD181)</f>
        <v>0</v>
      </c>
      <c r="AD177" s="622">
        <f>重み!E177</f>
        <v>0</v>
      </c>
      <c r="AE177" s="601"/>
      <c r="AF177" s="554"/>
      <c r="AG177" s="582">
        <f>重み!M177</f>
        <v>0.25</v>
      </c>
      <c r="AH177" s="568"/>
      <c r="AI177" s="582">
        <f>重み!N177</f>
        <v>0</v>
      </c>
      <c r="AJ177" s="2445"/>
      <c r="AK177" s="2445"/>
      <c r="AL177" s="2445"/>
      <c r="AM177" s="2445"/>
      <c r="AN177" s="2445"/>
      <c r="AO177" s="2445"/>
      <c r="AP177" s="2445"/>
      <c r="AQ177" s="2445"/>
      <c r="AR177" s="2445"/>
      <c r="AS177" s="2445"/>
      <c r="AT177" s="2445"/>
      <c r="AU177" s="2404">
        <f t="shared" si="146"/>
        <v>0</v>
      </c>
      <c r="BM177" s="1"/>
      <c r="BN177" s="1"/>
      <c r="BO177" s="2895"/>
    </row>
    <row r="178" spans="2:67">
      <c r="B178" s="795"/>
      <c r="C178" s="669"/>
      <c r="D178" s="634">
        <v>1</v>
      </c>
      <c r="E178" s="730" t="s">
        <v>1588</v>
      </c>
      <c r="F178" s="670"/>
      <c r="G178" s="3304"/>
      <c r="H178" s="3304"/>
      <c r="I178" s="2459"/>
      <c r="J178" s="2460"/>
      <c r="K178" s="3614"/>
      <c r="L178" s="3615"/>
      <c r="M178" s="3615"/>
      <c r="N178" s="3615"/>
      <c r="O178" s="3616"/>
      <c r="P178" s="3197">
        <v>0</v>
      </c>
      <c r="Q178" s="637">
        <f t="shared" si="119"/>
        <v>1</v>
      </c>
      <c r="R178" s="638">
        <f t="shared" si="128"/>
        <v>0.25</v>
      </c>
      <c r="S178" s="3260"/>
      <c r="T178" s="3233">
        <f t="shared" si="120"/>
        <v>0</v>
      </c>
      <c r="U178" s="638">
        <f t="shared" si="113"/>
        <v>0</v>
      </c>
      <c r="V178" s="620"/>
      <c r="W178" s="554"/>
      <c r="X178" s="786">
        <f>採点LR3!F65</f>
        <v>1</v>
      </c>
      <c r="Y178" s="3261"/>
      <c r="Z178" s="2445"/>
      <c r="AA178" s="641">
        <f t="shared" ref="AA178:AA181" si="150">IF($AA$3=4,P178,X178)</f>
        <v>1</v>
      </c>
      <c r="AB178" s="622">
        <f>重み!D178</f>
        <v>0.25</v>
      </c>
      <c r="AC178" s="641">
        <f t="shared" ref="AC178:AC182" si="151">IF($AA$3=4,S178,Y178)</f>
        <v>0</v>
      </c>
      <c r="AD178" s="622">
        <f>重み!E178</f>
        <v>0</v>
      </c>
      <c r="AE178" s="601"/>
      <c r="AF178" s="554"/>
      <c r="AG178" s="582">
        <f>重み!M178</f>
        <v>0.25</v>
      </c>
      <c r="AH178" s="568"/>
      <c r="AI178" s="582">
        <f>重み!N181</f>
        <v>0</v>
      </c>
      <c r="AJ178" s="2445"/>
      <c r="AK178" s="2445"/>
      <c r="AL178" s="2445"/>
      <c r="AM178" s="2445"/>
      <c r="AN178" s="2445"/>
      <c r="AO178" s="2445"/>
      <c r="AP178" s="2445"/>
      <c r="AQ178" s="2445"/>
      <c r="AR178" s="2445"/>
      <c r="AS178" s="2445"/>
      <c r="AT178" s="2445"/>
      <c r="AU178" s="2404">
        <f t="shared" si="146"/>
        <v>0</v>
      </c>
      <c r="BM178" s="1" t="s">
        <v>3260</v>
      </c>
      <c r="BN178" s="1">
        <f>IF(AND(ISERROR(Q178)=FALSE,ISERROR(R178)=FALSE,ISERROR(T178)=FALSE,ISERROR(U178)=FALSE),IF(OR(AND(Q178&gt;3,R178&gt;0),AND(T178&gt;3,U178&gt;0)),MAX(Q178,T178),0),0)</f>
        <v>0</v>
      </c>
      <c r="BO178" s="2895" t="str">
        <f>IF(K178=0,"",K178)</f>
        <v/>
      </c>
    </row>
    <row r="179" spans="2:67">
      <c r="B179" s="795"/>
      <c r="C179" s="669"/>
      <c r="D179" s="729">
        <v>2</v>
      </c>
      <c r="E179" s="730" t="s">
        <v>1589</v>
      </c>
      <c r="F179" s="670"/>
      <c r="G179" s="3304"/>
      <c r="H179" s="3304"/>
      <c r="I179" s="2459"/>
      <c r="J179" s="2460"/>
      <c r="K179" s="3614"/>
      <c r="L179" s="3615"/>
      <c r="M179" s="3615"/>
      <c r="N179" s="3615"/>
      <c r="O179" s="3616"/>
      <c r="P179" s="3198">
        <v>0</v>
      </c>
      <c r="Q179" s="651">
        <f t="shared" si="119"/>
        <v>3</v>
      </c>
      <c r="R179" s="638">
        <f t="shared" si="128"/>
        <v>0.25</v>
      </c>
      <c r="S179" s="3264"/>
      <c r="T179" s="3231">
        <f t="shared" si="120"/>
        <v>0</v>
      </c>
      <c r="U179" s="638">
        <f t="shared" si="113"/>
        <v>0</v>
      </c>
      <c r="V179" s="620"/>
      <c r="W179" s="554"/>
      <c r="X179" s="786">
        <f>採点LR3!F74</f>
        <v>3</v>
      </c>
      <c r="Y179" s="3261"/>
      <c r="Z179" s="2445"/>
      <c r="AA179" s="641">
        <f t="shared" si="150"/>
        <v>3</v>
      </c>
      <c r="AB179" s="622">
        <f>重み!D179</f>
        <v>0.25</v>
      </c>
      <c r="AC179" s="641">
        <f t="shared" si="151"/>
        <v>0</v>
      </c>
      <c r="AD179" s="622">
        <f>重み!E179</f>
        <v>0</v>
      </c>
      <c r="AE179" s="601"/>
      <c r="AF179" s="554"/>
      <c r="AG179" s="582">
        <f>重み!M179</f>
        <v>0.25</v>
      </c>
      <c r="AH179" s="568"/>
      <c r="AI179" s="582">
        <f>重み!N193</f>
        <v>0</v>
      </c>
      <c r="AJ179" s="2445"/>
      <c r="AK179" s="2445"/>
      <c r="AL179" s="2445"/>
      <c r="AM179" s="2445"/>
      <c r="AN179" s="2445"/>
      <c r="AO179" s="2445"/>
      <c r="AP179" s="2445"/>
      <c r="AQ179" s="2445"/>
      <c r="AR179" s="2445"/>
      <c r="AS179" s="2445"/>
      <c r="AT179" s="2445"/>
      <c r="AU179" s="2404">
        <f t="shared" si="146"/>
        <v>0</v>
      </c>
      <c r="BM179" s="1" t="s">
        <v>3261</v>
      </c>
      <c r="BN179" s="1">
        <f>IF(AND(ISERROR(Q179)=FALSE,ISERROR(R179)=FALSE,ISERROR(T179)=FALSE,ISERROR(U179)=FALSE),IF(OR(AND(Q179&gt;3,R179&gt;0),AND(T179&gt;3,U179&gt;0)),MAX(Q179,T179),0),0)</f>
        <v>0</v>
      </c>
      <c r="BO179" s="2895" t="str">
        <f>IF(K179=0,"",K179)</f>
        <v/>
      </c>
    </row>
    <row r="180" spans="2:67">
      <c r="B180" s="795"/>
      <c r="C180" s="669"/>
      <c r="D180" s="634">
        <v>3</v>
      </c>
      <c r="E180" s="730" t="s">
        <v>533</v>
      </c>
      <c r="F180" s="670"/>
      <c r="G180" s="3304"/>
      <c r="H180" s="3304"/>
      <c r="I180" s="2459"/>
      <c r="J180" s="2460"/>
      <c r="K180" s="3614"/>
      <c r="L180" s="3615"/>
      <c r="M180" s="3615"/>
      <c r="N180" s="3615"/>
      <c r="O180" s="3616"/>
      <c r="P180" s="3198">
        <v>0</v>
      </c>
      <c r="Q180" s="651">
        <f t="shared" si="119"/>
        <v>3</v>
      </c>
      <c r="R180" s="638">
        <f t="shared" si="128"/>
        <v>0.25</v>
      </c>
      <c r="S180" s="3264"/>
      <c r="T180" s="3231">
        <f t="shared" si="120"/>
        <v>0</v>
      </c>
      <c r="U180" s="638">
        <f t="shared" si="113"/>
        <v>0</v>
      </c>
      <c r="V180" s="620"/>
      <c r="W180" s="554"/>
      <c r="X180" s="786">
        <f>採点LR3!F83</f>
        <v>3</v>
      </c>
      <c r="Y180" s="3240"/>
      <c r="Z180" s="2445"/>
      <c r="AA180" s="641">
        <f t="shared" si="150"/>
        <v>3</v>
      </c>
      <c r="AB180" s="622">
        <f>重み!D180</f>
        <v>0.25</v>
      </c>
      <c r="AC180" s="641">
        <f>IF($AA$3=4,S180,Y180)</f>
        <v>0</v>
      </c>
      <c r="AD180" s="622">
        <f>重み!E180</f>
        <v>0</v>
      </c>
      <c r="AE180" s="601"/>
      <c r="AF180" s="554"/>
      <c r="AG180" s="582">
        <f>重み!M180</f>
        <v>0.25</v>
      </c>
      <c r="AH180" s="568"/>
      <c r="AI180" s="582">
        <f>重み!N194</f>
        <v>0</v>
      </c>
      <c r="AJ180" s="2445"/>
      <c r="AK180" s="2445"/>
      <c r="AL180" s="2445"/>
      <c r="AM180" s="2445"/>
      <c r="AN180" s="2445"/>
      <c r="AO180" s="2445"/>
      <c r="AP180" s="2445"/>
      <c r="AQ180" s="2445"/>
      <c r="AR180" s="2445"/>
      <c r="AS180" s="2445"/>
      <c r="AT180" s="2445"/>
      <c r="AU180" s="2404">
        <f t="shared" si="146"/>
        <v>0</v>
      </c>
      <c r="BM180" s="1" t="s">
        <v>3262</v>
      </c>
      <c r="BN180" s="1">
        <f>IF(AND(ISERROR(Q180)=FALSE,ISERROR(R180)=FALSE,ISERROR(T180)=FALSE,ISERROR(U180)=FALSE),IF(OR(AND(Q180&gt;3,R180&gt;0),AND(T180&gt;3,U180&gt;0)),MAX(Q180,T180),0),0)</f>
        <v>0</v>
      </c>
      <c r="BO180" s="2895" t="str">
        <f>IF(K180=0,"",K180)</f>
        <v/>
      </c>
    </row>
    <row r="181" spans="2:67" ht="14.25" thickBot="1">
      <c r="B181" s="803"/>
      <c r="C181" s="678"/>
      <c r="D181" s="634">
        <v>4</v>
      </c>
      <c r="E181" s="730" t="s">
        <v>814</v>
      </c>
      <c r="F181" s="670"/>
      <c r="G181" s="3304"/>
      <c r="H181" s="3304"/>
      <c r="I181" s="2473"/>
      <c r="J181" s="2474"/>
      <c r="K181" s="3614"/>
      <c r="L181" s="3615"/>
      <c r="M181" s="3615"/>
      <c r="N181" s="3615"/>
      <c r="O181" s="3616"/>
      <c r="P181" s="3198">
        <v>0</v>
      </c>
      <c r="Q181" s="651">
        <f t="shared" si="119"/>
        <v>3</v>
      </c>
      <c r="R181" s="804">
        <f t="shared" si="128"/>
        <v>0.25</v>
      </c>
      <c r="S181" s="3252"/>
      <c r="T181" s="3253">
        <f t="shared" si="120"/>
        <v>0</v>
      </c>
      <c r="U181" s="804">
        <f t="shared" si="113"/>
        <v>0</v>
      </c>
      <c r="V181" s="709"/>
      <c r="W181" s="554"/>
      <c r="X181" s="3274">
        <f>採点LR3!F103</f>
        <v>3</v>
      </c>
      <c r="Y181" s="3240"/>
      <c r="Z181" s="2445"/>
      <c r="AA181" s="641">
        <f t="shared" si="150"/>
        <v>3</v>
      </c>
      <c r="AB181" s="622">
        <f>重み!D181</f>
        <v>0.25</v>
      </c>
      <c r="AC181" s="641">
        <f t="shared" si="151"/>
        <v>0</v>
      </c>
      <c r="AD181" s="622">
        <f>重み!E181</f>
        <v>0</v>
      </c>
      <c r="AE181" s="601"/>
      <c r="AF181" s="554"/>
      <c r="AG181" s="582">
        <f>重み!M181</f>
        <v>0.25</v>
      </c>
      <c r="AH181" s="568"/>
      <c r="AI181" s="582">
        <f>重み!N195</f>
        <v>0</v>
      </c>
      <c r="AJ181" s="2445"/>
      <c r="AK181" s="2445"/>
      <c r="AL181" s="2445"/>
      <c r="AM181" s="2445"/>
      <c r="AN181" s="2445"/>
      <c r="AO181" s="2445"/>
      <c r="AP181" s="2445"/>
      <c r="AQ181" s="2445"/>
      <c r="AR181" s="2445"/>
      <c r="AS181" s="2445"/>
      <c r="AT181" s="2445"/>
      <c r="AU181" s="2404">
        <f t="shared" si="146"/>
        <v>0</v>
      </c>
      <c r="BM181" s="1" t="s">
        <v>3263</v>
      </c>
      <c r="BN181" s="1">
        <f>IF(AND(ISERROR(Q181)=FALSE,ISERROR(R181)=FALSE,ISERROR(T181)=FALSE,ISERROR(U181)=FALSE),IF(OR(AND(Q181&gt;3,R181&gt;0),AND(T181&gt;3,U181&gt;0)),MAX(Q181,T181),0),0)</f>
        <v>0</v>
      </c>
      <c r="BO181" s="2895" t="str">
        <f>IF(K181=0,"",K181)</f>
        <v/>
      </c>
    </row>
    <row r="182" spans="2:67" s="2445" customFormat="1" ht="14.25" hidden="1" thickBot="1">
      <c r="B182" s="795"/>
      <c r="C182" s="3296">
        <v>2.1</v>
      </c>
      <c r="D182" s="3286" t="s">
        <v>814</v>
      </c>
      <c r="E182" s="730"/>
      <c r="F182" s="670"/>
      <c r="G182" s="3303"/>
      <c r="H182" s="3303"/>
      <c r="I182" s="2473"/>
      <c r="J182" s="2474"/>
      <c r="K182" s="2912"/>
      <c r="L182" s="2913"/>
      <c r="M182" s="2913"/>
      <c r="N182" s="2913"/>
      <c r="O182" s="2915"/>
      <c r="P182" s="3199">
        <v>3</v>
      </c>
      <c r="Q182" s="656">
        <f t="shared" si="119"/>
        <v>100</v>
      </c>
      <c r="R182" s="714">
        <f t="shared" si="128"/>
        <v>0</v>
      </c>
      <c r="S182" s="3230"/>
      <c r="T182" s="3264">
        <f t="shared" si="120"/>
        <v>0</v>
      </c>
      <c r="U182" s="619">
        <f t="shared" si="113"/>
        <v>0</v>
      </c>
      <c r="V182" s="620"/>
      <c r="W182" s="554"/>
      <c r="X182" s="3275">
        <v>100</v>
      </c>
      <c r="Y182" s="3240"/>
      <c r="AA182" s="3200">
        <f>IF($AA$3=4,P182,X182)</f>
        <v>100</v>
      </c>
      <c r="AB182" s="622">
        <f>重み!D182</f>
        <v>0</v>
      </c>
      <c r="AC182" s="3200">
        <f t="shared" si="151"/>
        <v>0</v>
      </c>
      <c r="AD182" s="622">
        <f>重み!E182</f>
        <v>0</v>
      </c>
      <c r="AE182" s="601"/>
      <c r="AF182" s="554"/>
      <c r="AG182" s="582">
        <f>重み!M182</f>
        <v>0</v>
      </c>
      <c r="AH182" s="568"/>
      <c r="AI182" s="582"/>
      <c r="AU182" s="2404"/>
      <c r="BM182" s="1"/>
      <c r="BN182" s="1"/>
      <c r="BO182" s="2895"/>
    </row>
    <row r="183" spans="2:67">
      <c r="B183" s="805">
        <v>3</v>
      </c>
      <c r="C183" s="657" t="s">
        <v>815</v>
      </c>
      <c r="D183" s="730"/>
      <c r="E183" s="657"/>
      <c r="F183" s="670"/>
      <c r="G183" s="3310"/>
      <c r="H183" s="3310"/>
      <c r="I183" s="2461"/>
      <c r="J183" s="2506"/>
      <c r="K183" s="2845"/>
      <c r="L183" s="2846"/>
      <c r="M183" s="2846"/>
      <c r="N183" s="2846"/>
      <c r="O183" s="2847"/>
      <c r="P183" s="3276">
        <f>ROUNDDOWN(AA183,1)</f>
        <v>3</v>
      </c>
      <c r="Q183" s="3276">
        <f t="shared" si="119"/>
        <v>3</v>
      </c>
      <c r="R183" s="660" t="e">
        <f>AB183</f>
        <v>#VALUE!</v>
      </c>
      <c r="S183" s="3250">
        <f>ROUNDDOWN(AC183,1)</f>
        <v>0</v>
      </c>
      <c r="T183" s="3265">
        <f t="shared" si="120"/>
        <v>0</v>
      </c>
      <c r="U183" s="661">
        <f t="shared" si="113"/>
        <v>0</v>
      </c>
      <c r="V183" s="662">
        <f>ROUNDDOWN(AE183,1)</f>
        <v>3</v>
      </c>
      <c r="W183" s="554"/>
      <c r="X183" s="3240"/>
      <c r="Y183" s="3240"/>
      <c r="Z183" s="2445"/>
      <c r="AA183" s="3202">
        <f>AA184*AB184+AA188*AB188+AA192*AB192</f>
        <v>3.0000000000000004</v>
      </c>
      <c r="AB183" s="622" t="e">
        <f>重み!D183</f>
        <v>#VALUE!</v>
      </c>
      <c r="AC183" s="3202">
        <f>AC184*AD184+AC188*AD188+AC192*AD192</f>
        <v>0</v>
      </c>
      <c r="AD183" s="623">
        <f>SUM(AD184,AD188,AD192)</f>
        <v>0</v>
      </c>
      <c r="AE183" s="601">
        <f>IF(AC183=0,AA183,IF(AA183=0,AC183,AA183*AG$6+AC183*AI$6))</f>
        <v>3.0000000000000004</v>
      </c>
      <c r="AF183" s="554"/>
      <c r="AG183" s="582">
        <f>重み!M183</f>
        <v>0.33333333333333337</v>
      </c>
      <c r="AH183" s="568"/>
      <c r="AI183" s="623">
        <f>SUM(AI184,AI188,AI192)</f>
        <v>0</v>
      </c>
      <c r="AJ183" s="2445"/>
      <c r="AK183" s="3211">
        <v>3</v>
      </c>
      <c r="AL183" s="3211"/>
      <c r="AM183" s="3211"/>
      <c r="AN183" s="3211"/>
      <c r="AO183" s="3211"/>
      <c r="AP183" s="3211">
        <v>4</v>
      </c>
      <c r="AQ183" s="3211"/>
      <c r="AR183" s="3211"/>
      <c r="AS183" s="3211"/>
      <c r="AT183" s="3211"/>
      <c r="AU183" s="2385">
        <f t="shared" si="146"/>
        <v>3</v>
      </c>
      <c r="AV183" s="799" t="e">
        <f>R183</f>
        <v>#VALUE!</v>
      </c>
      <c r="AW183" s="662"/>
      <c r="AX183" s="2359"/>
      <c r="AY183" s="2384">
        <f>SUMPRODUCT($BB$7:$BK$7,AK183:AT183)/BA183</f>
        <v>3</v>
      </c>
      <c r="BA183" s="2383">
        <f>SUMPRODUCT($BB$7:$BK$7,BB183:BK183)</f>
        <v>0.98425196850393704</v>
      </c>
      <c r="BB183" s="2369">
        <f t="shared" ref="BB183:BK183" si="152">IF(AK183&gt;0,1,0)</f>
        <v>1</v>
      </c>
      <c r="BC183" s="2369">
        <f t="shared" si="152"/>
        <v>0</v>
      </c>
      <c r="BD183" s="2369">
        <f t="shared" si="152"/>
        <v>0</v>
      </c>
      <c r="BE183" s="2369">
        <f t="shared" si="152"/>
        <v>0</v>
      </c>
      <c r="BF183" s="2369">
        <f t="shared" si="152"/>
        <v>0</v>
      </c>
      <c r="BG183" s="2369">
        <f t="shared" si="152"/>
        <v>1</v>
      </c>
      <c r="BH183" s="2369">
        <f t="shared" si="152"/>
        <v>0</v>
      </c>
      <c r="BI183" s="2369">
        <f t="shared" si="152"/>
        <v>0</v>
      </c>
      <c r="BJ183" s="2369">
        <f t="shared" si="152"/>
        <v>0</v>
      </c>
      <c r="BK183" s="2369">
        <f t="shared" si="152"/>
        <v>0</v>
      </c>
      <c r="BM183" s="1"/>
      <c r="BN183" s="1"/>
      <c r="BO183" s="2895"/>
    </row>
    <row r="184" spans="2:67" ht="14.25" thickBot="1">
      <c r="B184" s="806"/>
      <c r="C184" s="626">
        <v>3.1</v>
      </c>
      <c r="D184" s="744" t="s">
        <v>816</v>
      </c>
      <c r="E184" s="614"/>
      <c r="F184" s="616"/>
      <c r="G184" s="3303"/>
      <c r="H184" s="3303"/>
      <c r="I184" s="2459"/>
      <c r="J184" s="2460"/>
      <c r="K184" s="2842"/>
      <c r="L184" s="2843"/>
      <c r="M184" s="2843"/>
      <c r="N184" s="2843"/>
      <c r="O184" s="2844"/>
      <c r="P184" s="807">
        <f>ROUNDDOWN(AA184,1)</f>
        <v>3</v>
      </c>
      <c r="Q184" s="807">
        <f t="shared" si="119"/>
        <v>3</v>
      </c>
      <c r="R184" s="618">
        <f>AB184</f>
        <v>0.4</v>
      </c>
      <c r="S184" s="3230">
        <f>ROUNDDOWN(AC184,1)</f>
        <v>0</v>
      </c>
      <c r="T184" s="3264">
        <f t="shared" si="120"/>
        <v>0</v>
      </c>
      <c r="U184" s="619">
        <f t="shared" si="113"/>
        <v>0</v>
      </c>
      <c r="V184" s="620"/>
      <c r="W184" s="554"/>
      <c r="X184" s="3240"/>
      <c r="Y184" s="3240"/>
      <c r="Z184" s="2445"/>
      <c r="AA184" s="621">
        <f>SUMPRODUCT(AA185:AA187,AB185:AB187)</f>
        <v>3</v>
      </c>
      <c r="AB184" s="622">
        <f>重み!D184</f>
        <v>0.4</v>
      </c>
      <c r="AC184" s="621">
        <f>SUMPRODUCT(AC185:AC187,AD185:AD187)</f>
        <v>0</v>
      </c>
      <c r="AD184" s="622">
        <f>重み!E184</f>
        <v>0</v>
      </c>
      <c r="AE184" s="601"/>
      <c r="AF184" s="554"/>
      <c r="AG184" s="582">
        <f>重み!M184</f>
        <v>0.4</v>
      </c>
      <c r="AH184" s="568"/>
      <c r="AI184" s="582">
        <f>重み!N184</f>
        <v>0</v>
      </c>
      <c r="AJ184" s="2445"/>
      <c r="AK184" s="2445"/>
      <c r="AL184" s="2445"/>
      <c r="AM184" s="2445"/>
      <c r="AN184" s="2445"/>
      <c r="AO184" s="2445"/>
      <c r="AP184" s="2445"/>
      <c r="AQ184" s="2445"/>
      <c r="AR184" s="2445"/>
      <c r="AS184" s="2445"/>
      <c r="AT184" s="2445"/>
      <c r="AU184" s="2445"/>
      <c r="BM184" s="1"/>
      <c r="BN184" s="1"/>
      <c r="BO184" s="2895"/>
    </row>
    <row r="185" spans="2:67">
      <c r="B185" s="808"/>
      <c r="C185" s="669"/>
      <c r="D185" s="634">
        <v>1</v>
      </c>
      <c r="E185" s="730" t="s">
        <v>817</v>
      </c>
      <c r="F185" s="670"/>
      <c r="G185" s="3304"/>
      <c r="H185" s="3304"/>
      <c r="I185" s="2459"/>
      <c r="J185" s="2460"/>
      <c r="K185" s="3614"/>
      <c r="L185" s="3615"/>
      <c r="M185" s="3615"/>
      <c r="N185" s="3615"/>
      <c r="O185" s="3616"/>
      <c r="P185" s="3212">
        <v>0</v>
      </c>
      <c r="Q185" s="809">
        <f t="shared" si="119"/>
        <v>3</v>
      </c>
      <c r="R185" s="714">
        <f t="shared" si="128"/>
        <v>0.33333333333333337</v>
      </c>
      <c r="S185" s="3230"/>
      <c r="T185" s="3264">
        <f t="shared" si="120"/>
        <v>0</v>
      </c>
      <c r="U185" s="619">
        <f t="shared" si="113"/>
        <v>0</v>
      </c>
      <c r="V185" s="620"/>
      <c r="W185" s="554"/>
      <c r="X185" s="3277">
        <f>採点LR3!F124</f>
        <v>3</v>
      </c>
      <c r="Y185" s="3240"/>
      <c r="Z185" s="2445"/>
      <c r="AA185" s="641">
        <f t="shared" ref="AA185:AA187" si="153">IF($AA$3=4,P185,X185)</f>
        <v>3</v>
      </c>
      <c r="AB185" s="622">
        <f>重み!D185</f>
        <v>0.33333333333333337</v>
      </c>
      <c r="AC185" s="641">
        <f t="shared" ref="AC185:AC187" si="154">IF($AA$3=4,S185,Y185)</f>
        <v>0</v>
      </c>
      <c r="AD185" s="622">
        <f>重み!E185</f>
        <v>0</v>
      </c>
      <c r="AE185" s="601"/>
      <c r="AF185" s="554"/>
      <c r="AG185" s="582">
        <f>重み!M185</f>
        <v>0.33333333333333337</v>
      </c>
      <c r="AH185" s="568"/>
      <c r="AI185" s="582">
        <f>重み!N185</f>
        <v>0</v>
      </c>
      <c r="AJ185" s="2445"/>
      <c r="AK185" s="2445"/>
      <c r="AL185" s="2445"/>
      <c r="AM185" s="2445"/>
      <c r="AN185" s="2445"/>
      <c r="AO185" s="2445"/>
      <c r="AP185" s="2445"/>
      <c r="AQ185" s="2445"/>
      <c r="AR185" s="2445"/>
      <c r="AS185" s="2445"/>
      <c r="AT185" s="2445"/>
      <c r="AU185" s="2445"/>
      <c r="BM185" s="1" t="s">
        <v>3264</v>
      </c>
      <c r="BN185" s="1">
        <f>IF(AND(ISERROR(Q185)=FALSE,ISERROR(R185)=FALSE,ISERROR(T185)=FALSE,ISERROR(U185)=FALSE),IF(OR(AND(Q185&gt;3,R185&gt;0),AND(T185&gt;3,U185&gt;0)),MAX(Q185,T185),0),0)</f>
        <v>0</v>
      </c>
      <c r="BO185" s="2895" t="str">
        <f t="shared" ref="BO185:BO187" si="155">IF(K185=0,"",K185)</f>
        <v/>
      </c>
    </row>
    <row r="186" spans="2:67">
      <c r="B186" s="808"/>
      <c r="C186" s="669"/>
      <c r="D186" s="729">
        <v>2</v>
      </c>
      <c r="E186" s="730" t="s">
        <v>1590</v>
      </c>
      <c r="F186" s="670"/>
      <c r="G186" s="3304"/>
      <c r="H186" s="3304"/>
      <c r="I186" s="2459"/>
      <c r="J186" s="2460"/>
      <c r="K186" s="3614"/>
      <c r="L186" s="3615"/>
      <c r="M186" s="3615"/>
      <c r="N186" s="3615"/>
      <c r="O186" s="3616"/>
      <c r="P186" s="3213">
        <v>0</v>
      </c>
      <c r="Q186" s="810">
        <f t="shared" si="119"/>
        <v>3</v>
      </c>
      <c r="R186" s="714">
        <f t="shared" si="128"/>
        <v>0.33333333333333337</v>
      </c>
      <c r="S186" s="3230"/>
      <c r="T186" s="3264">
        <f t="shared" si="120"/>
        <v>0</v>
      </c>
      <c r="U186" s="619">
        <f t="shared" si="113"/>
        <v>0</v>
      </c>
      <c r="V186" s="620"/>
      <c r="W186" s="554"/>
      <c r="X186" s="3274">
        <f>採点LR3!F150</f>
        <v>3</v>
      </c>
      <c r="Y186" s="3240"/>
      <c r="Z186" s="2445"/>
      <c r="AA186" s="641">
        <f t="shared" si="153"/>
        <v>3</v>
      </c>
      <c r="AB186" s="622">
        <f>重み!D186</f>
        <v>0.33333333333333337</v>
      </c>
      <c r="AC186" s="641">
        <f t="shared" si="154"/>
        <v>0</v>
      </c>
      <c r="AD186" s="622">
        <f>重み!E186</f>
        <v>0</v>
      </c>
      <c r="AE186" s="601"/>
      <c r="AF186" s="554"/>
      <c r="AG186" s="582">
        <f>重み!M186</f>
        <v>0.33333333333333337</v>
      </c>
      <c r="AH186" s="568"/>
      <c r="AI186" s="582">
        <f>重み!N186</f>
        <v>0</v>
      </c>
      <c r="AJ186" s="2445"/>
      <c r="AK186" s="2445"/>
      <c r="AL186" s="2445"/>
      <c r="AM186" s="2445"/>
      <c r="AN186" s="2445"/>
      <c r="AO186" s="2445"/>
      <c r="AP186" s="2445"/>
      <c r="AQ186" s="2445"/>
      <c r="AR186" s="2445"/>
      <c r="AS186" s="2445"/>
      <c r="AT186" s="2445"/>
      <c r="AU186" s="2445"/>
      <c r="BM186" s="1" t="s">
        <v>3265</v>
      </c>
      <c r="BN186" s="1">
        <f>IF(AND(ISERROR(Q186)=FALSE,ISERROR(R186)=FALSE,ISERROR(T186)=FALSE,ISERROR(U186)=FALSE),IF(OR(AND(Q186&gt;3,R186&gt;0),AND(T186&gt;3,U186&gt;0)),MAX(Q186,T186),0),0)</f>
        <v>0</v>
      </c>
      <c r="BO186" s="2895" t="str">
        <f t="shared" si="155"/>
        <v/>
      </c>
    </row>
    <row r="187" spans="2:67" ht="14.25" thickBot="1">
      <c r="B187" s="808"/>
      <c r="C187" s="669"/>
      <c r="D187" s="634">
        <v>3</v>
      </c>
      <c r="E187" s="730" t="s">
        <v>1591</v>
      </c>
      <c r="F187" s="670"/>
      <c r="G187" s="3304"/>
      <c r="H187" s="3304"/>
      <c r="I187" s="2459"/>
      <c r="J187" s="2460"/>
      <c r="K187" s="3614"/>
      <c r="L187" s="3615"/>
      <c r="M187" s="3615"/>
      <c r="N187" s="3615"/>
      <c r="O187" s="3616"/>
      <c r="P187" s="3214">
        <v>0</v>
      </c>
      <c r="Q187" s="811">
        <f t="shared" si="119"/>
        <v>3</v>
      </c>
      <c r="R187" s="714">
        <f t="shared" si="128"/>
        <v>0.33333333333333337</v>
      </c>
      <c r="S187" s="3230"/>
      <c r="T187" s="3264">
        <f t="shared" si="120"/>
        <v>0</v>
      </c>
      <c r="U187" s="619">
        <f t="shared" si="113"/>
        <v>0</v>
      </c>
      <c r="V187" s="620"/>
      <c r="W187" s="554"/>
      <c r="X187" s="3278">
        <f>採点LR3!F169</f>
        <v>3</v>
      </c>
      <c r="Y187" s="3240"/>
      <c r="Z187" s="2445"/>
      <c r="AA187" s="641">
        <f t="shared" si="153"/>
        <v>3</v>
      </c>
      <c r="AB187" s="622">
        <f>重み!D187</f>
        <v>0.33333333333333337</v>
      </c>
      <c r="AC187" s="641">
        <f t="shared" si="154"/>
        <v>0</v>
      </c>
      <c r="AD187" s="622">
        <f>重み!E187</f>
        <v>0</v>
      </c>
      <c r="AE187" s="601"/>
      <c r="AF187" s="554"/>
      <c r="AG187" s="582">
        <f>重み!M187</f>
        <v>0.33333333333333337</v>
      </c>
      <c r="AH187" s="568"/>
      <c r="AI187" s="582">
        <f>重み!N187</f>
        <v>0</v>
      </c>
      <c r="AJ187" s="2445"/>
      <c r="AK187" s="2445"/>
      <c r="AL187" s="2445"/>
      <c r="AM187" s="2445"/>
      <c r="AN187" s="2445"/>
      <c r="AO187" s="2445"/>
      <c r="AP187" s="2445"/>
      <c r="AQ187" s="2445"/>
      <c r="AR187" s="2445"/>
      <c r="AS187" s="2445"/>
      <c r="AT187" s="2445"/>
      <c r="AU187" s="2445"/>
      <c r="BM187" s="1" t="s">
        <v>3266</v>
      </c>
      <c r="BN187" s="1">
        <f>IF(AND(ISERROR(Q187)=FALSE,ISERROR(R187)=FALSE,ISERROR(T187)=FALSE,ISERROR(U187)=FALSE),IF(OR(AND(Q187&gt;3,R187&gt;0),AND(T187&gt;3,U187&gt;0)),MAX(Q187,T187),0),0)</f>
        <v>0</v>
      </c>
      <c r="BO187" s="2895" t="str">
        <f t="shared" si="155"/>
        <v/>
      </c>
    </row>
    <row r="188" spans="2:67" ht="14.25" thickBot="1">
      <c r="B188" s="808"/>
      <c r="C188" s="626">
        <v>3.2</v>
      </c>
      <c r="D188" s="730" t="s">
        <v>3059</v>
      </c>
      <c r="E188" s="742"/>
      <c r="F188" s="688"/>
      <c r="G188" s="3303"/>
      <c r="H188" s="3303"/>
      <c r="I188" s="2459"/>
      <c r="J188" s="2460"/>
      <c r="K188" s="2872"/>
      <c r="L188" s="2873"/>
      <c r="M188" s="2873"/>
      <c r="N188" s="2873"/>
      <c r="O188" s="2873"/>
      <c r="P188" s="812">
        <f>ROUNDDOWN(AA188,1)</f>
        <v>3</v>
      </c>
      <c r="Q188" s="812">
        <f t="shared" si="119"/>
        <v>3</v>
      </c>
      <c r="R188" s="714">
        <f>AB188</f>
        <v>0.4</v>
      </c>
      <c r="S188" s="3230">
        <f>ROUNDDOWN(AC188,1)</f>
        <v>0</v>
      </c>
      <c r="T188" s="3264">
        <f t="shared" si="120"/>
        <v>0</v>
      </c>
      <c r="U188" s="619">
        <f t="shared" si="113"/>
        <v>0</v>
      </c>
      <c r="V188" s="620"/>
      <c r="W188" s="554"/>
      <c r="X188" s="3279"/>
      <c r="Y188" s="3240"/>
      <c r="Z188" s="2445"/>
      <c r="AA188" s="621">
        <f>SUMPRODUCT(AA189:AA191,AB189:AB191)</f>
        <v>2.9999999999999996</v>
      </c>
      <c r="AB188" s="622">
        <f>重み!D188</f>
        <v>0.4</v>
      </c>
      <c r="AC188" s="621">
        <f>SUMPRODUCT(AC189:AC191,AD189:AD191)</f>
        <v>0</v>
      </c>
      <c r="AD188" s="622">
        <f>重み!E188</f>
        <v>0</v>
      </c>
      <c r="AE188" s="601"/>
      <c r="AF188" s="554"/>
      <c r="AG188" s="582">
        <f>重み!M188</f>
        <v>0.4</v>
      </c>
      <c r="AH188" s="568"/>
      <c r="AI188" s="582">
        <f>重み!N188</f>
        <v>0</v>
      </c>
      <c r="AJ188" s="2445"/>
      <c r="AK188" s="2445"/>
      <c r="AL188" s="2445"/>
      <c r="AM188" s="2445"/>
      <c r="AN188" s="2445"/>
      <c r="AO188" s="2445"/>
      <c r="AP188" s="2445"/>
      <c r="AQ188" s="2445"/>
      <c r="AR188" s="2445"/>
      <c r="AS188" s="2445"/>
      <c r="AT188" s="2445"/>
      <c r="AU188" s="2445"/>
      <c r="BM188" s="1"/>
      <c r="BN188" s="1"/>
      <c r="BO188" s="2895"/>
    </row>
    <row r="189" spans="2:67">
      <c r="B189" s="808"/>
      <c r="C189" s="669"/>
      <c r="D189" s="634">
        <v>1</v>
      </c>
      <c r="E189" s="730" t="s">
        <v>1592</v>
      </c>
      <c r="F189" s="670"/>
      <c r="G189" s="3304"/>
      <c r="H189" s="3304"/>
      <c r="I189" s="2459"/>
      <c r="J189" s="2460"/>
      <c r="K189" s="3614"/>
      <c r="L189" s="3615"/>
      <c r="M189" s="3615"/>
      <c r="N189" s="3615"/>
      <c r="O189" s="3616"/>
      <c r="P189" s="3197">
        <v>0</v>
      </c>
      <c r="Q189" s="637">
        <f t="shared" si="119"/>
        <v>3</v>
      </c>
      <c r="R189" s="714">
        <f t="shared" ref="R189:R194" si="156">AB189</f>
        <v>0.7</v>
      </c>
      <c r="S189" s="3230"/>
      <c r="T189" s="3264">
        <f t="shared" si="120"/>
        <v>0</v>
      </c>
      <c r="U189" s="619">
        <f t="shared" si="113"/>
        <v>0</v>
      </c>
      <c r="V189" s="620"/>
      <c r="W189" s="554"/>
      <c r="X189" s="3277">
        <f>採点LR3!F179</f>
        <v>3</v>
      </c>
      <c r="Y189" s="3240"/>
      <c r="Z189" s="2445"/>
      <c r="AA189" s="641">
        <f t="shared" ref="AA189:AA191" si="157">IF($AA$3=4,P189,X189)</f>
        <v>3</v>
      </c>
      <c r="AB189" s="622">
        <f>重み!D189</f>
        <v>0.7</v>
      </c>
      <c r="AC189" s="641">
        <f t="shared" ref="AC189:AC191" si="158">IF($AA$3=4,S189,Y189)</f>
        <v>0</v>
      </c>
      <c r="AD189" s="622">
        <f>重み!E189</f>
        <v>0</v>
      </c>
      <c r="AE189" s="601"/>
      <c r="AF189" s="554"/>
      <c r="AG189" s="582">
        <f>重み!M189</f>
        <v>0.7</v>
      </c>
      <c r="AH189" s="568"/>
      <c r="AI189" s="582">
        <f>重み!N189</f>
        <v>0</v>
      </c>
      <c r="AJ189" s="2445"/>
      <c r="AK189" s="2445"/>
      <c r="AL189" s="2445"/>
      <c r="AM189" s="2445"/>
      <c r="AN189" s="2445"/>
      <c r="AO189" s="2445"/>
      <c r="AP189" s="2445"/>
      <c r="AQ189" s="2445"/>
      <c r="AR189" s="2445"/>
      <c r="AS189" s="2445"/>
      <c r="AT189" s="2445"/>
      <c r="AU189" s="2445"/>
      <c r="BM189" s="1" t="s">
        <v>3267</v>
      </c>
      <c r="BN189" s="1">
        <f>IF(AND(ISERROR(Q189)=FALSE,ISERROR(R189)=FALSE,ISERROR(T189)=FALSE,ISERROR(U189)=FALSE),IF(OR(AND(Q189&gt;3,R189&gt;0),AND(T189&gt;3,U189&gt;0)),MAX(Q189,T189),0),0)</f>
        <v>0</v>
      </c>
      <c r="BO189" s="2895" t="str">
        <f t="shared" ref="BO189:BO191" si="159">IF(K189=0,"",K189)</f>
        <v/>
      </c>
    </row>
    <row r="190" spans="2:67" ht="14.25" thickBot="1">
      <c r="B190" s="808"/>
      <c r="C190" s="669"/>
      <c r="D190" s="634">
        <v>2</v>
      </c>
      <c r="E190" s="730" t="s">
        <v>818</v>
      </c>
      <c r="F190" s="670"/>
      <c r="G190" s="3304"/>
      <c r="H190" s="3304"/>
      <c r="I190" s="2459"/>
      <c r="J190" s="2460"/>
      <c r="K190" s="3614"/>
      <c r="L190" s="3615"/>
      <c r="M190" s="3615"/>
      <c r="N190" s="3615"/>
      <c r="O190" s="3616"/>
      <c r="P190" s="3198">
        <v>0</v>
      </c>
      <c r="Q190" s="651">
        <f t="shared" si="119"/>
        <v>0</v>
      </c>
      <c r="R190" s="774">
        <f t="shared" si="156"/>
        <v>0</v>
      </c>
      <c r="S190" s="3230"/>
      <c r="T190" s="3264">
        <f t="shared" si="120"/>
        <v>0</v>
      </c>
      <c r="U190" s="619"/>
      <c r="V190" s="620"/>
      <c r="W190" s="554"/>
      <c r="X190" s="3278">
        <f>採点LR3!F188</f>
        <v>0</v>
      </c>
      <c r="Y190" s="3240"/>
      <c r="Z190" s="2445"/>
      <c r="AA190" s="641">
        <f t="shared" si="157"/>
        <v>0</v>
      </c>
      <c r="AB190" s="622">
        <f>重み!D190</f>
        <v>0</v>
      </c>
      <c r="AC190" s="641">
        <f t="shared" si="158"/>
        <v>0</v>
      </c>
      <c r="AD190" s="622">
        <f>重み!E190</f>
        <v>0</v>
      </c>
      <c r="AE190" s="601"/>
      <c r="AF190" s="554"/>
      <c r="AG190" s="582">
        <f>重み!M190</f>
        <v>0</v>
      </c>
      <c r="AH190" s="568"/>
      <c r="AI190" s="582">
        <f>重み!N190</f>
        <v>0</v>
      </c>
      <c r="AJ190" s="2445"/>
      <c r="AK190" s="2445"/>
      <c r="AL190" s="2445"/>
      <c r="AM190" s="2445"/>
      <c r="AN190" s="2445"/>
      <c r="AO190" s="2445"/>
      <c r="AP190" s="2445"/>
      <c r="AQ190" s="2445"/>
      <c r="AR190" s="2445"/>
      <c r="AS190" s="2445"/>
      <c r="AT190" s="2445"/>
      <c r="AU190" s="2445"/>
      <c r="BM190" s="1" t="s">
        <v>3268</v>
      </c>
      <c r="BN190" s="1">
        <f>IF(AND(ISERROR(Q190)=FALSE,ISERROR(R190)=FALSE,ISERROR(T190)=FALSE,ISERROR(U190)=FALSE),IF(OR(AND(Q190&gt;3,R190&gt;0),AND(T190&gt;3,U190&gt;0)),MAX(Q190,T190),0),0)</f>
        <v>0</v>
      </c>
      <c r="BO190" s="2895" t="str">
        <f t="shared" si="159"/>
        <v/>
      </c>
    </row>
    <row r="191" spans="2:67" ht="14.25" thickBot="1">
      <c r="B191" s="808"/>
      <c r="C191" s="669"/>
      <c r="D191" s="729">
        <v>3</v>
      </c>
      <c r="E191" s="730" t="s">
        <v>1593</v>
      </c>
      <c r="F191" s="670"/>
      <c r="G191" s="3304"/>
      <c r="H191" s="3304"/>
      <c r="I191" s="2459"/>
      <c r="J191" s="2460"/>
      <c r="K191" s="3614"/>
      <c r="L191" s="3615"/>
      <c r="M191" s="3615"/>
      <c r="N191" s="3615"/>
      <c r="O191" s="3616"/>
      <c r="P191" s="3198">
        <v>0</v>
      </c>
      <c r="Q191" s="651">
        <f t="shared" si="119"/>
        <v>3</v>
      </c>
      <c r="R191" s="774">
        <f t="shared" si="156"/>
        <v>0.3</v>
      </c>
      <c r="S191" s="3230"/>
      <c r="T191" s="3264">
        <f t="shared" si="120"/>
        <v>0</v>
      </c>
      <c r="U191" s="619">
        <f>AD191</f>
        <v>0</v>
      </c>
      <c r="V191" s="620"/>
      <c r="W191" s="554"/>
      <c r="X191" s="3278">
        <f>採点LR3!F205</f>
        <v>3</v>
      </c>
      <c r="Y191" s="3240"/>
      <c r="Z191" s="2445"/>
      <c r="AA191" s="641">
        <f t="shared" si="157"/>
        <v>3</v>
      </c>
      <c r="AB191" s="622">
        <f>重み!D191</f>
        <v>0.3</v>
      </c>
      <c r="AC191" s="641">
        <f t="shared" si="158"/>
        <v>0</v>
      </c>
      <c r="AD191" s="622">
        <f>重み!E191</f>
        <v>0</v>
      </c>
      <c r="AE191" s="601"/>
      <c r="AF191" s="554"/>
      <c r="AG191" s="582">
        <f>重み!M191</f>
        <v>0.3</v>
      </c>
      <c r="AH191" s="568"/>
      <c r="AI191" s="582">
        <f>重み!N191</f>
        <v>0</v>
      </c>
      <c r="AJ191" s="2445"/>
      <c r="AK191" s="2445"/>
      <c r="AL191" s="2445"/>
      <c r="AM191" s="2445"/>
      <c r="AN191" s="2445"/>
      <c r="AO191" s="2445"/>
      <c r="AP191" s="2445"/>
      <c r="AQ191" s="2445"/>
      <c r="AR191" s="2445"/>
      <c r="AS191" s="2445"/>
      <c r="AT191" s="2445"/>
      <c r="AU191" s="2445"/>
      <c r="BM191" s="1" t="s">
        <v>3269</v>
      </c>
      <c r="BN191" s="1">
        <f>IF(AND(ISERROR(Q191)=FALSE,ISERROR(R191)=FALSE,ISERROR(T191)=FALSE,ISERROR(U191)=FALSE),IF(OR(AND(Q191&gt;3,R191&gt;0),AND(T191&gt;3,U191&gt;0)),MAX(Q191,T191),0),0)</f>
        <v>0</v>
      </c>
      <c r="BO191" s="2895" t="str">
        <f t="shared" si="159"/>
        <v/>
      </c>
    </row>
    <row r="192" spans="2:67" ht="14.25" thickBot="1">
      <c r="B192" s="808"/>
      <c r="C192" s="626">
        <v>3.3</v>
      </c>
      <c r="D192" s="730" t="s">
        <v>819</v>
      </c>
      <c r="E192" s="742"/>
      <c r="F192" s="688"/>
      <c r="G192" s="3303"/>
      <c r="H192" s="3303"/>
      <c r="I192" s="2459"/>
      <c r="J192" s="2460"/>
      <c r="K192" s="2872"/>
      <c r="L192" s="2873"/>
      <c r="M192" s="2873"/>
      <c r="N192" s="2873"/>
      <c r="O192" s="2873"/>
      <c r="P192" s="812">
        <f>ROUNDDOWN(AA192,1)</f>
        <v>3</v>
      </c>
      <c r="Q192" s="812">
        <f t="shared" si="119"/>
        <v>3</v>
      </c>
      <c r="R192" s="714">
        <f>AB192</f>
        <v>0.2</v>
      </c>
      <c r="S192" s="3230">
        <f>ROUNDDOWN(AC192,1)</f>
        <v>0</v>
      </c>
      <c r="T192" s="3264">
        <f t="shared" si="120"/>
        <v>0</v>
      </c>
      <c r="U192" s="619">
        <f t="shared" ref="U192" si="160">AD192</f>
        <v>0</v>
      </c>
      <c r="V192" s="620"/>
      <c r="W192" s="554"/>
      <c r="X192" s="3279"/>
      <c r="Y192" s="3240"/>
      <c r="Z192" s="2445"/>
      <c r="AA192" s="621">
        <f>SUMPRODUCT(AA193:AA194,AB193:AB194)</f>
        <v>2.9999999999999996</v>
      </c>
      <c r="AB192" s="622">
        <f>重み!D192</f>
        <v>0.2</v>
      </c>
      <c r="AC192" s="621">
        <f>SUMPRODUCT(AC193:AC194,AD193:AD194)</f>
        <v>0</v>
      </c>
      <c r="AD192" s="622">
        <f>重み!E192</f>
        <v>0</v>
      </c>
      <c r="AE192" s="601"/>
      <c r="AF192" s="554"/>
      <c r="AG192" s="582">
        <f>重み!M192</f>
        <v>0.2</v>
      </c>
      <c r="AH192" s="568"/>
      <c r="AI192" s="582">
        <f>重み!N192</f>
        <v>0</v>
      </c>
      <c r="AJ192" s="2445"/>
      <c r="AK192" s="2445"/>
      <c r="AL192" s="2445"/>
      <c r="AM192" s="2445"/>
      <c r="AN192" s="2445"/>
      <c r="AO192" s="2445"/>
      <c r="AP192" s="2445"/>
      <c r="AQ192" s="2445"/>
      <c r="AR192" s="2445"/>
      <c r="AS192" s="2445"/>
      <c r="AT192" s="2445"/>
      <c r="AU192" s="2445"/>
      <c r="BM192" s="1"/>
      <c r="BN192" s="1"/>
      <c r="BO192" s="2895"/>
    </row>
    <row r="193" spans="2:67">
      <c r="B193" s="808"/>
      <c r="C193" s="669"/>
      <c r="D193" s="634">
        <v>1</v>
      </c>
      <c r="E193" s="3649" t="s">
        <v>820</v>
      </c>
      <c r="F193" s="3637"/>
      <c r="G193" s="3304"/>
      <c r="H193" s="3304"/>
      <c r="I193" s="2459"/>
      <c r="J193" s="2460"/>
      <c r="K193" s="3614"/>
      <c r="L193" s="3615"/>
      <c r="M193" s="3615"/>
      <c r="N193" s="3615"/>
      <c r="O193" s="3616"/>
      <c r="P193" s="3197">
        <v>0</v>
      </c>
      <c r="Q193" s="637">
        <f t="shared" si="119"/>
        <v>3</v>
      </c>
      <c r="R193" s="714">
        <f t="shared" si="156"/>
        <v>0.7</v>
      </c>
      <c r="S193" s="3230"/>
      <c r="T193" s="3264">
        <f t="shared" si="120"/>
        <v>0</v>
      </c>
      <c r="U193" s="619">
        <f>AD193</f>
        <v>0</v>
      </c>
      <c r="V193" s="620"/>
      <c r="W193" s="554"/>
      <c r="X193" s="3277">
        <f>採点LR3!F216</f>
        <v>3</v>
      </c>
      <c r="Y193" s="3240"/>
      <c r="Z193" s="2445"/>
      <c r="AA193" s="641">
        <f t="shared" ref="AA193" si="161">IF($AA$3=4,P193,X193)</f>
        <v>3</v>
      </c>
      <c r="AB193" s="622">
        <f>重み!D193</f>
        <v>0.7</v>
      </c>
      <c r="AC193" s="641">
        <f>IF($AA$3=4,S193,Y193)</f>
        <v>0</v>
      </c>
      <c r="AD193" s="622">
        <f>重み!E193</f>
        <v>0</v>
      </c>
      <c r="AE193" s="601"/>
      <c r="AF193" s="554"/>
      <c r="AG193" s="582">
        <f>重み!M193</f>
        <v>0.7</v>
      </c>
      <c r="AH193" s="568"/>
      <c r="AI193" s="582">
        <f>重み!N193</f>
        <v>0</v>
      </c>
      <c r="AJ193" s="2445"/>
      <c r="AK193" s="2445"/>
      <c r="AL193" s="2445"/>
      <c r="AM193" s="2445"/>
      <c r="AN193" s="2445"/>
      <c r="AO193" s="2445"/>
      <c r="AP193" s="2445"/>
      <c r="AQ193" s="2445"/>
      <c r="AR193" s="2445"/>
      <c r="AS193" s="2445"/>
      <c r="AT193" s="2445"/>
      <c r="AU193" s="2445"/>
      <c r="BM193" s="1" t="s">
        <v>3270</v>
      </c>
      <c r="BN193" s="1">
        <f>IF(AND(ISERROR(Q193)=FALSE,ISERROR(R193)=FALSE,ISERROR(T193)=FALSE,ISERROR(U193)=FALSE),IF(OR(AND(Q193&gt;3,R193&gt;0),AND(T193&gt;3,U193&gt;0)),MAX(Q193,T193),0),0)</f>
        <v>0</v>
      </c>
      <c r="BO193" s="2895" t="str">
        <f t="shared" ref="BO193:BO194" si="162">IF(K193=0,"",K193)</f>
        <v/>
      </c>
    </row>
    <row r="194" spans="2:67" ht="14.25" thickBot="1">
      <c r="B194" s="808"/>
      <c r="C194" s="669"/>
      <c r="D194" s="729">
        <v>2</v>
      </c>
      <c r="E194" s="3644" t="s">
        <v>1971</v>
      </c>
      <c r="F194" s="3645"/>
      <c r="G194" s="3357"/>
      <c r="H194" s="3357"/>
      <c r="I194" s="2507" t="s">
        <v>2529</v>
      </c>
      <c r="J194" s="2508" t="s">
        <v>2519</v>
      </c>
      <c r="K194" s="3646"/>
      <c r="L194" s="3647"/>
      <c r="M194" s="3647"/>
      <c r="N194" s="3647"/>
      <c r="O194" s="3648"/>
      <c r="P194" s="3198">
        <v>0</v>
      </c>
      <c r="Q194" s="651">
        <f>ROUNDDOWN(AA194,1)</f>
        <v>3</v>
      </c>
      <c r="R194" s="774">
        <f t="shared" si="156"/>
        <v>0.3</v>
      </c>
      <c r="S194" s="3230"/>
      <c r="T194" s="3280">
        <f t="shared" si="120"/>
        <v>0</v>
      </c>
      <c r="U194" s="619">
        <f>AD194</f>
        <v>0</v>
      </c>
      <c r="V194" s="620"/>
      <c r="W194" s="554"/>
      <c r="X194" s="3274">
        <f>採点LR3!F234</f>
        <v>3</v>
      </c>
      <c r="Y194" s="3240"/>
      <c r="Z194" s="2445"/>
      <c r="AA194" s="641">
        <f>IF($AA$3=4,P194,X194)</f>
        <v>3</v>
      </c>
      <c r="AB194" s="622">
        <f>重み!D194</f>
        <v>0.3</v>
      </c>
      <c r="AC194" s="641">
        <f t="shared" ref="AC194" si="163">IF($AA$3=4,S194,Y194)</f>
        <v>0</v>
      </c>
      <c r="AD194" s="622">
        <f>重み!E194</f>
        <v>0</v>
      </c>
      <c r="AE194" s="601"/>
      <c r="AF194" s="554"/>
      <c r="AG194" s="611">
        <f>重み!M194</f>
        <v>0.3</v>
      </c>
      <c r="AH194" s="568"/>
      <c r="AI194" s="611">
        <f>重み!N194</f>
        <v>0</v>
      </c>
      <c r="AJ194" s="2445"/>
      <c r="AK194" s="2445"/>
      <c r="AL194" s="2445"/>
      <c r="AM194" s="2445"/>
      <c r="AN194" s="2445"/>
      <c r="AO194" s="2445"/>
      <c r="AP194" s="2445"/>
      <c r="AQ194" s="2445"/>
      <c r="AR194" s="2445"/>
      <c r="AS194" s="2445"/>
      <c r="AT194" s="2445"/>
      <c r="AU194" s="2445"/>
      <c r="BM194" s="1" t="s">
        <v>3271</v>
      </c>
      <c r="BN194" s="1">
        <f>IF(AND(ISERROR(Q194)=FALSE,ISERROR(R194)=FALSE,ISERROR(T194)=FALSE,ISERROR(U194)=FALSE),IF(OR(AND(Q194&gt;3,R194&gt;0),AND(T194&gt;3,U194&gt;0)),MAX(Q194,T194),0),0)</f>
        <v>0</v>
      </c>
      <c r="BO194" s="2895" t="str">
        <f t="shared" si="162"/>
        <v/>
      </c>
    </row>
    <row r="195" spans="2:67">
      <c r="B195" s="2390"/>
      <c r="C195" s="2390"/>
      <c r="D195" s="2390"/>
      <c r="E195" s="2509" t="s">
        <v>3060</v>
      </c>
      <c r="F195" s="2446"/>
      <c r="G195" s="2390"/>
      <c r="H195" s="2390"/>
      <c r="K195" s="2509" t="s">
        <v>2528</v>
      </c>
      <c r="L195" s="1364"/>
      <c r="M195" s="1364"/>
      <c r="N195" s="1364"/>
      <c r="O195" s="1364"/>
      <c r="P195" s="1364"/>
      <c r="Q195" s="2390"/>
      <c r="R195" s="2390"/>
      <c r="S195" s="2390"/>
      <c r="T195" s="2390"/>
      <c r="U195" s="2390"/>
      <c r="V195" s="2390"/>
      <c r="W195" s="554"/>
      <c r="X195" s="2390"/>
      <c r="Y195" s="2390"/>
      <c r="Z195" s="2390"/>
      <c r="AA195" s="2390"/>
      <c r="AB195" s="2390"/>
      <c r="AC195" s="2390"/>
      <c r="AD195" s="2390"/>
      <c r="AE195" s="2390"/>
      <c r="AF195" s="2390"/>
      <c r="AG195" s="2390"/>
      <c r="AH195" s="2390"/>
      <c r="AI195" s="2390"/>
      <c r="AJ195" s="2390"/>
      <c r="AK195" s="2390"/>
      <c r="AL195" s="2390"/>
      <c r="AM195" s="2390"/>
      <c r="AN195" s="2390"/>
      <c r="AO195" s="2390"/>
      <c r="AP195" s="2390"/>
      <c r="AQ195" s="2390"/>
      <c r="AR195" s="2390"/>
      <c r="AS195" s="2390"/>
      <c r="AT195" s="2390"/>
      <c r="AU195" s="2390"/>
      <c r="AV195" s="2390"/>
      <c r="AW195" s="2390"/>
    </row>
    <row r="196" spans="2:67">
      <c r="I196" s="2509" t="s">
        <v>2528</v>
      </c>
    </row>
  </sheetData>
  <sheetProtection algorithmName="SHA-512" hashValue="vRY7vqwiBEwmiVMYfsRcU+xGMRMxI3tq8Dy9orbM6EJ2c6Mkz0DdALJuQe7xf+A/zwUH2lPOo6HIzcIVAbhVGA==" saltValue="imO0Md0X4oraQyuZFOQY9w==" spinCount="100000" sheet="1" objects="1" scenarios="1" selectLockedCells="1"/>
  <mergeCells count="138">
    <mergeCell ref="K147:O147"/>
    <mergeCell ref="K149:O149"/>
    <mergeCell ref="K150:O150"/>
    <mergeCell ref="K152:O152"/>
    <mergeCell ref="K153:O153"/>
    <mergeCell ref="K185:O185"/>
    <mergeCell ref="K176:O176"/>
    <mergeCell ref="K178:O178"/>
    <mergeCell ref="K179:O179"/>
    <mergeCell ref="K180:O180"/>
    <mergeCell ref="E150:F150"/>
    <mergeCell ref="D155:F155"/>
    <mergeCell ref="K181:O181"/>
    <mergeCell ref="K170:O170"/>
    <mergeCell ref="K171:O171"/>
    <mergeCell ref="K154:O154"/>
    <mergeCell ref="K155:O155"/>
    <mergeCell ref="K173:O173"/>
    <mergeCell ref="K175:O175"/>
    <mergeCell ref="K156:O156"/>
    <mergeCell ref="K157:O157"/>
    <mergeCell ref="K167:O167"/>
    <mergeCell ref="K169:O169"/>
    <mergeCell ref="B3:F3"/>
    <mergeCell ref="K135:O135"/>
    <mergeCell ref="K136:O136"/>
    <mergeCell ref="K137:O137"/>
    <mergeCell ref="K106:O106"/>
    <mergeCell ref="K111:O111"/>
    <mergeCell ref="K119:O119"/>
    <mergeCell ref="K123:O123"/>
    <mergeCell ref="K127:O127"/>
    <mergeCell ref="K128:O128"/>
    <mergeCell ref="K125:O125"/>
    <mergeCell ref="K126:O126"/>
    <mergeCell ref="K130:O130"/>
    <mergeCell ref="K131:O131"/>
    <mergeCell ref="K65:O65"/>
    <mergeCell ref="K90:O90"/>
    <mergeCell ref="K91:O91"/>
    <mergeCell ref="K113:O113"/>
    <mergeCell ref="K116:O116"/>
    <mergeCell ref="K118:O118"/>
    <mergeCell ref="K95:O95"/>
    <mergeCell ref="K96:O96"/>
    <mergeCell ref="K97:O97"/>
    <mergeCell ref="K98:O98"/>
    <mergeCell ref="K186:O186"/>
    <mergeCell ref="E194:F194"/>
    <mergeCell ref="K194:O194"/>
    <mergeCell ref="K187:O187"/>
    <mergeCell ref="K189:O189"/>
    <mergeCell ref="K191:O191"/>
    <mergeCell ref="E193:F193"/>
    <mergeCell ref="K193:O193"/>
    <mergeCell ref="K190:O190"/>
    <mergeCell ref="K141:O141"/>
    <mergeCell ref="K143:O143"/>
    <mergeCell ref="K132:O132"/>
    <mergeCell ref="K133:O133"/>
    <mergeCell ref="K134:O134"/>
    <mergeCell ref="K124:O124"/>
    <mergeCell ref="K140:O140"/>
    <mergeCell ref="K144:O144"/>
    <mergeCell ref="K107:O107"/>
    <mergeCell ref="K108:O108"/>
    <mergeCell ref="K109:O109"/>
    <mergeCell ref="K110:O110"/>
    <mergeCell ref="M129:O129"/>
    <mergeCell ref="K102:O102"/>
    <mergeCell ref="K103:O103"/>
    <mergeCell ref="K104:O104"/>
    <mergeCell ref="K92:O92"/>
    <mergeCell ref="K94:O94"/>
    <mergeCell ref="E87:F87"/>
    <mergeCell ref="K87:O87"/>
    <mergeCell ref="K88:O88"/>
    <mergeCell ref="K81:O81"/>
    <mergeCell ref="K83:O83"/>
    <mergeCell ref="K84:O84"/>
    <mergeCell ref="E85:F85"/>
    <mergeCell ref="K85:O85"/>
    <mergeCell ref="K86:O86"/>
    <mergeCell ref="K66:O66"/>
    <mergeCell ref="K67:O67"/>
    <mergeCell ref="K69:O69"/>
    <mergeCell ref="K71:O71"/>
    <mergeCell ref="K72:O72"/>
    <mergeCell ref="K75:O75"/>
    <mergeCell ref="K76:O76"/>
    <mergeCell ref="K77:O77"/>
    <mergeCell ref="K80:O80"/>
    <mergeCell ref="K51:O51"/>
    <mergeCell ref="E5:F5"/>
    <mergeCell ref="X5:Y6"/>
    <mergeCell ref="K12:O12"/>
    <mergeCell ref="K13:O13"/>
    <mergeCell ref="K15:O15"/>
    <mergeCell ref="K16:O16"/>
    <mergeCell ref="K31:O31"/>
    <mergeCell ref="K33:O33"/>
    <mergeCell ref="K34:O34"/>
    <mergeCell ref="K23:O23"/>
    <mergeCell ref="K24:O24"/>
    <mergeCell ref="K25:O25"/>
    <mergeCell ref="K26:O26"/>
    <mergeCell ref="K17:O17"/>
    <mergeCell ref="K18:O18"/>
    <mergeCell ref="K19:O19"/>
    <mergeCell ref="K22:O22"/>
    <mergeCell ref="K11:O11"/>
    <mergeCell ref="I6:I7"/>
    <mergeCell ref="J6:J7"/>
    <mergeCell ref="G6:H6"/>
    <mergeCell ref="K52:O52"/>
    <mergeCell ref="K53:O53"/>
    <mergeCell ref="K37:O37"/>
    <mergeCell ref="K27:O27"/>
    <mergeCell ref="K28:O28"/>
    <mergeCell ref="K29:O29"/>
    <mergeCell ref="K30:O30"/>
    <mergeCell ref="K61:O61"/>
    <mergeCell ref="D47:E47"/>
    <mergeCell ref="K47:O47"/>
    <mergeCell ref="K38:O38"/>
    <mergeCell ref="K39:O39"/>
    <mergeCell ref="K41:O41"/>
    <mergeCell ref="K42:O42"/>
    <mergeCell ref="K45:O45"/>
    <mergeCell ref="K46:O46"/>
    <mergeCell ref="K60:O60"/>
    <mergeCell ref="K44:O44"/>
    <mergeCell ref="K43:O43"/>
    <mergeCell ref="K55:O55"/>
    <mergeCell ref="K56:O56"/>
    <mergeCell ref="K57:O57"/>
    <mergeCell ref="K58:O58"/>
    <mergeCell ref="K50:O50"/>
  </mergeCells>
  <phoneticPr fontId="21"/>
  <conditionalFormatting sqref="T14">
    <cfRule type="expression" dxfId="344" priority="143" stopIfTrue="1">
      <formula>AND(AI14&gt;0,T14="")</formula>
    </cfRule>
    <cfRule type="expression" dxfId="343" priority="144" stopIfTrue="1">
      <formula>(AI14=0)</formula>
    </cfRule>
  </conditionalFormatting>
  <conditionalFormatting sqref="K127:L128 K154:L155 K132:L137 K90:L92">
    <cfRule type="expression" dxfId="342" priority="147" stopIfTrue="1">
      <formula>Q90&gt;3</formula>
    </cfRule>
  </conditionalFormatting>
  <conditionalFormatting sqref="AK10:AO20 AQ10:AT20">
    <cfRule type="expression" dxfId="341" priority="138">
      <formula>AK$7&gt;0</formula>
    </cfRule>
  </conditionalFormatting>
  <conditionalFormatting sqref="Q14">
    <cfRule type="expression" dxfId="340" priority="192" stopIfTrue="1">
      <formula>AND(AG14&gt;0,Q14="")</formula>
    </cfRule>
    <cfRule type="expression" dxfId="339" priority="193" stopIfTrue="1">
      <formula>(AG14=0)</formula>
    </cfRule>
  </conditionalFormatting>
  <conditionalFormatting sqref="M127:O128 M154:O155 M132:O137 M90:O92">
    <cfRule type="expression" dxfId="338" priority="207" stopIfTrue="1">
      <formula>T90&gt;3</formula>
    </cfRule>
  </conditionalFormatting>
  <conditionalFormatting sqref="K140:K141 K11:K13 K15:K19 K22:K32 K37:K39 K50:K53 K55:K58 K60:K61 K65:K67 K69:K73 K75:K77 K80:K81 K83:K88 K94:K98 K102:K104 K106:K111 K113:K116 K118:K119 K130:K131 K143:K144 K147 K149:K150 K152:K153 K156:K165 K167 K169:K171 K173 K175:K176 K178:K182 K185:K187 K189:K191 K193:K194 K41:K47 K123:K126">
    <cfRule type="expression" dxfId="337" priority="214" stopIfTrue="1">
      <formula>OR(AND(Q11&gt;3,R11&gt;0),AND(T11&gt;3,U11&gt;0))</formula>
    </cfRule>
  </conditionalFormatting>
  <conditionalFormatting sqref="M140:O141 M37:O39 M50:O53 M55:O58 M60:O61 M65:O67 M69:O73 M75:O77 M80:O81 M83:O88 M94:O98 M102:O104 M106:O111 M113:O116 M118:O119 M130:O131 M143:O144 M147:O147 M149:O150 M152:O153 M156:O165 M167:O167 M169:O171 M173:O173 M175:O176 M178:O182 M185:O187 M189:O191 M193:O194 M41:O47 M123:O126 M11:M13 N13:O13 X11 O11:O12 W11:W12 M15:O19 M22:O32">
    <cfRule type="expression" dxfId="336" priority="215" stopIfTrue="1">
      <formula>OR(AND(T11&gt;3,U11&gt;0),AND(V11&gt;3,W11&gt;0))</formula>
    </cfRule>
  </conditionalFormatting>
  <conditionalFormatting sqref="L140:L141 L11:L13 L15:L19 L22:L32 L37:L39 L50:L53 L55:L58 L60:L61 L65:L67 L69:L73 L75:L77 L80:L81 L83:L88 L94:L98 L102:L104 L106:L111 L113:L116 L118:L119 L130:L131 L143:L144 L147 L149:L150 L152:L153 L156:L165 L167 L169:L171 L173 L175:L176 L178:L182 L185:L187 L189:L191 L193:L194 L41:L47 L123:L126">
    <cfRule type="expression" dxfId="335" priority="216" stopIfTrue="1">
      <formula>OR(AND(R11&gt;3,T11&gt;0),AND(U11&gt;3,V11&gt;0))</formula>
    </cfRule>
  </conditionalFormatting>
  <conditionalFormatting sqref="O12">
    <cfRule type="expression" dxfId="334" priority="226" stopIfTrue="1">
      <formula>OR(AND(V12&gt;3,W12&gt;0),AND(X11&gt;3,Y11&gt;0))</formula>
    </cfRule>
  </conditionalFormatting>
  <conditionalFormatting sqref="O11">
    <cfRule type="expression" dxfId="333" priority="227" stopIfTrue="1">
      <formula>OR(AND(V11&gt;3,W11&gt;0),AND(#REF!&gt;3,#REF!&gt;0))</formula>
    </cfRule>
  </conditionalFormatting>
  <conditionalFormatting sqref="N12">
    <cfRule type="expression" dxfId="332" priority="229" stopIfTrue="1">
      <formula>OR(AND(U12&gt;3,V12&gt;0),AND(W12&gt;3,X11&gt;0))</formula>
    </cfRule>
  </conditionalFormatting>
  <conditionalFormatting sqref="N11">
    <cfRule type="expression" dxfId="331" priority="230" stopIfTrue="1">
      <formula>OR(AND(U11&gt;3,V11&gt;0),AND(W11&gt;3,#REF!&gt;0))</formula>
    </cfRule>
  </conditionalFormatting>
  <conditionalFormatting sqref="K129:O129">
    <cfRule type="expression" dxfId="330" priority="137">
      <formula>OR($AA129&gt;3,$AC129&gt;3)</formula>
    </cfRule>
  </conditionalFormatting>
  <conditionalFormatting sqref="T11:T12">
    <cfRule type="expression" dxfId="329" priority="129" stopIfTrue="1">
      <formula>AND(AI11&gt;0,T11="")</formula>
    </cfRule>
    <cfRule type="expression" dxfId="328" priority="130" stopIfTrue="1">
      <formula>(AI11=0)</formula>
    </cfRule>
  </conditionalFormatting>
  <conditionalFormatting sqref="T10">
    <cfRule type="expression" dxfId="327" priority="131" stopIfTrue="1">
      <formula>AND(AI10&gt;0,T10="")</formula>
    </cfRule>
    <cfRule type="expression" dxfId="326" priority="132" stopIfTrue="1">
      <formula>AND(AI10=0)</formula>
    </cfRule>
  </conditionalFormatting>
  <conditionalFormatting sqref="Q11:Q12">
    <cfRule type="expression" dxfId="325" priority="133" stopIfTrue="1">
      <formula>AND(AG11&gt;0,Q11="")</formula>
    </cfRule>
    <cfRule type="expression" dxfId="324" priority="134" stopIfTrue="1">
      <formula>(AG11=0)</formula>
    </cfRule>
  </conditionalFormatting>
  <conditionalFormatting sqref="Q10">
    <cfRule type="expression" dxfId="323" priority="135" stopIfTrue="1">
      <formula>AND(AG10&gt;0,Q10="")</formula>
    </cfRule>
    <cfRule type="expression" dxfId="322" priority="136" stopIfTrue="1">
      <formula>AND(AG10=0)</formula>
    </cfRule>
  </conditionalFormatting>
  <conditionalFormatting sqref="P11:P12">
    <cfRule type="expression" dxfId="321" priority="127" stopIfTrue="1">
      <formula>(AG11=0)</formula>
    </cfRule>
  </conditionalFormatting>
  <conditionalFormatting sqref="P10">
    <cfRule type="expression" dxfId="320" priority="128" stopIfTrue="1">
      <formula>AG10=0</formula>
    </cfRule>
  </conditionalFormatting>
  <conditionalFormatting sqref="S11:S12">
    <cfRule type="expression" dxfId="319" priority="126" stopIfTrue="1">
      <formula>(AI11=0)</formula>
    </cfRule>
  </conditionalFormatting>
  <conditionalFormatting sqref="S10">
    <cfRule type="expression" dxfId="318" priority="124" stopIfTrue="1">
      <formula>AND(AH10&gt;0,S10="")</formula>
    </cfRule>
    <cfRule type="expression" dxfId="317" priority="125" stopIfTrue="1">
      <formula>AND(AH10=0)</formula>
    </cfRule>
  </conditionalFormatting>
  <conditionalFormatting sqref="T13">
    <cfRule type="expression" dxfId="316" priority="120" stopIfTrue="1">
      <formula>AND(AI13&gt;0,T13="")</formula>
    </cfRule>
    <cfRule type="expression" dxfId="315" priority="121" stopIfTrue="1">
      <formula>(AI13=0)</formula>
    </cfRule>
  </conditionalFormatting>
  <conditionalFormatting sqref="Q13">
    <cfRule type="expression" dxfId="314" priority="122" stopIfTrue="1">
      <formula>AND(AG13&gt;0,Q13="")</formula>
    </cfRule>
    <cfRule type="expression" dxfId="313" priority="123" stopIfTrue="1">
      <formula>(AG13=0)</formula>
    </cfRule>
  </conditionalFormatting>
  <conditionalFormatting sqref="P13">
    <cfRule type="expression" dxfId="312" priority="119" stopIfTrue="1">
      <formula>(AG13=0)</formula>
    </cfRule>
  </conditionalFormatting>
  <conditionalFormatting sqref="S13">
    <cfRule type="expression" dxfId="311" priority="118" stopIfTrue="1">
      <formula>(AI13=0)</formula>
    </cfRule>
  </conditionalFormatting>
  <conditionalFormatting sqref="P14">
    <cfRule type="expression" dxfId="310" priority="117" stopIfTrue="1">
      <formula>(AG14=0)</formula>
    </cfRule>
  </conditionalFormatting>
  <conditionalFormatting sqref="T15">
    <cfRule type="expression" dxfId="309" priority="113" stopIfTrue="1">
      <formula>AND(AI15&gt;0,T15="")</formula>
    </cfRule>
    <cfRule type="expression" dxfId="308" priority="114" stopIfTrue="1">
      <formula>(AI15=0)</formula>
    </cfRule>
  </conditionalFormatting>
  <conditionalFormatting sqref="Q15">
    <cfRule type="expression" dxfId="307" priority="115" stopIfTrue="1">
      <formula>AND(AG15&gt;0,Q15="")</formula>
    </cfRule>
    <cfRule type="expression" dxfId="306" priority="116" stopIfTrue="1">
      <formula>(AG15=0)</formula>
    </cfRule>
  </conditionalFormatting>
  <conditionalFormatting sqref="P15">
    <cfRule type="expression" dxfId="305" priority="112" stopIfTrue="1">
      <formula>(AG15=0)</formula>
    </cfRule>
  </conditionalFormatting>
  <conditionalFormatting sqref="S15">
    <cfRule type="expression" dxfId="304" priority="111" stopIfTrue="1">
      <formula>(AI15=0)</formula>
    </cfRule>
  </conditionalFormatting>
  <conditionalFormatting sqref="T16:T19">
    <cfRule type="expression" dxfId="303" priority="107" stopIfTrue="1">
      <formula>AND(AI16&gt;0,T16="")</formula>
    </cfRule>
    <cfRule type="expression" dxfId="302" priority="108" stopIfTrue="1">
      <formula>(AI16=0)</formula>
    </cfRule>
  </conditionalFormatting>
  <conditionalFormatting sqref="Q16:Q19">
    <cfRule type="expression" dxfId="301" priority="109" stopIfTrue="1">
      <formula>AND(AG16&gt;0,Q16="")</formula>
    </cfRule>
    <cfRule type="expression" dxfId="300" priority="110" stopIfTrue="1">
      <formula>(AG16=0)</formula>
    </cfRule>
  </conditionalFormatting>
  <conditionalFormatting sqref="P16:P19">
    <cfRule type="expression" dxfId="299" priority="106" stopIfTrue="1">
      <formula>(AG16=0)</formula>
    </cfRule>
  </conditionalFormatting>
  <conditionalFormatting sqref="S16:S19">
    <cfRule type="expression" dxfId="298" priority="105" stopIfTrue="1">
      <formula>(AI16=0)</formula>
    </cfRule>
  </conditionalFormatting>
  <conditionalFormatting sqref="T20">
    <cfRule type="expression" dxfId="297" priority="101" stopIfTrue="1">
      <formula>AND(AI20&gt;0,T20="")</formula>
    </cfRule>
    <cfRule type="expression" dxfId="296" priority="102" stopIfTrue="1">
      <formula>AND(AI20=0)</formula>
    </cfRule>
  </conditionalFormatting>
  <conditionalFormatting sqref="Q20">
    <cfRule type="expression" dxfId="295" priority="103" stopIfTrue="1">
      <formula>AND(AG20&gt;0,Q20="")</formula>
    </cfRule>
    <cfRule type="expression" dxfId="294" priority="104" stopIfTrue="1">
      <formula>(AG20=0)</formula>
    </cfRule>
  </conditionalFormatting>
  <conditionalFormatting sqref="P20">
    <cfRule type="expression" dxfId="293" priority="100" stopIfTrue="1">
      <formula>(AG20=0)</formula>
    </cfRule>
  </conditionalFormatting>
  <conditionalFormatting sqref="S20">
    <cfRule type="expression" dxfId="292" priority="99" stopIfTrue="1">
      <formula>AND(AI20=0)</formula>
    </cfRule>
  </conditionalFormatting>
  <conditionalFormatting sqref="T21">
    <cfRule type="expression" dxfId="291" priority="95" stopIfTrue="1">
      <formula>AND(AI21&gt;0,T21="")</formula>
    </cfRule>
    <cfRule type="expression" dxfId="290" priority="96" stopIfTrue="1">
      <formula>(AI21=0)</formula>
    </cfRule>
  </conditionalFormatting>
  <conditionalFormatting sqref="Q21">
    <cfRule type="expression" dxfId="289" priority="97" stopIfTrue="1">
      <formula>AND(AG21&gt;0,Q21="")</formula>
    </cfRule>
    <cfRule type="expression" dxfId="288" priority="98" stopIfTrue="1">
      <formula>(AG21=0)</formula>
    </cfRule>
  </conditionalFormatting>
  <conditionalFormatting sqref="P21">
    <cfRule type="expression" dxfId="287" priority="94" stopIfTrue="1">
      <formula>(AG21=0)</formula>
    </cfRule>
  </conditionalFormatting>
  <conditionalFormatting sqref="S21">
    <cfRule type="expression" dxfId="286" priority="93" stopIfTrue="1">
      <formula>(AI21=0)</formula>
    </cfRule>
  </conditionalFormatting>
  <conditionalFormatting sqref="T22">
    <cfRule type="expression" dxfId="285" priority="89" stopIfTrue="1">
      <formula>AND(AI22&gt;0,T22="")</formula>
    </cfRule>
    <cfRule type="expression" dxfId="284" priority="90" stopIfTrue="1">
      <formula>(AI22=0)</formula>
    </cfRule>
  </conditionalFormatting>
  <conditionalFormatting sqref="Q22">
    <cfRule type="expression" dxfId="283" priority="91" stopIfTrue="1">
      <formula>AND(AG22&gt;0,Q22="")</formula>
    </cfRule>
    <cfRule type="expression" dxfId="282" priority="92" stopIfTrue="1">
      <formula>(AG22=0)</formula>
    </cfRule>
  </conditionalFormatting>
  <conditionalFormatting sqref="P22">
    <cfRule type="expression" dxfId="281" priority="88" stopIfTrue="1">
      <formula>(AG22=0)</formula>
    </cfRule>
  </conditionalFormatting>
  <conditionalFormatting sqref="S22">
    <cfRule type="expression" dxfId="280" priority="87" stopIfTrue="1">
      <formula>(AI22=0)</formula>
    </cfRule>
  </conditionalFormatting>
  <conditionalFormatting sqref="T23">
    <cfRule type="expression" dxfId="279" priority="83" stopIfTrue="1">
      <formula>AND(AI23&gt;0,T23="")</formula>
    </cfRule>
    <cfRule type="expression" dxfId="278" priority="84" stopIfTrue="1">
      <formula>(AI23=0)</formula>
    </cfRule>
  </conditionalFormatting>
  <conditionalFormatting sqref="Q23">
    <cfRule type="expression" dxfId="277" priority="85" stopIfTrue="1">
      <formula>AND(AG23&gt;0,Q23="")</formula>
    </cfRule>
    <cfRule type="expression" dxfId="276" priority="86" stopIfTrue="1">
      <formula>(AG23=0)</formula>
    </cfRule>
  </conditionalFormatting>
  <conditionalFormatting sqref="P23">
    <cfRule type="expression" dxfId="275" priority="82" stopIfTrue="1">
      <formula>(AG23=0)</formula>
    </cfRule>
  </conditionalFormatting>
  <conditionalFormatting sqref="S23">
    <cfRule type="expression" dxfId="274" priority="81" stopIfTrue="1">
      <formula>(AI23=0)</formula>
    </cfRule>
  </conditionalFormatting>
  <conditionalFormatting sqref="T24:T30">
    <cfRule type="expression" dxfId="273" priority="77" stopIfTrue="1">
      <formula>AND(AI24&gt;0,T24="")</formula>
    </cfRule>
    <cfRule type="expression" dxfId="272" priority="78" stopIfTrue="1">
      <formula>(AI24=0)</formula>
    </cfRule>
  </conditionalFormatting>
  <conditionalFormatting sqref="AK33:AO34 AQ33:AT34">
    <cfRule type="expression" dxfId="271" priority="76">
      <formula>AK$7&gt;0</formula>
    </cfRule>
  </conditionalFormatting>
  <conditionalFormatting sqref="Q24:Q30">
    <cfRule type="expression" dxfId="270" priority="79" stopIfTrue="1">
      <formula>AND(AG24&gt;0,Q24="")</formula>
    </cfRule>
    <cfRule type="expression" dxfId="269" priority="80" stopIfTrue="1">
      <formula>(AG24=0)</formula>
    </cfRule>
  </conditionalFormatting>
  <conditionalFormatting sqref="P24:P30">
    <cfRule type="expression" dxfId="268" priority="75" stopIfTrue="1">
      <formula>(AG24=0)</formula>
    </cfRule>
  </conditionalFormatting>
  <conditionalFormatting sqref="S24:S30">
    <cfRule type="expression" dxfId="267" priority="74" stopIfTrue="1">
      <formula>(AI24=0)</formula>
    </cfRule>
  </conditionalFormatting>
  <conditionalFormatting sqref="T31 T33:T34">
    <cfRule type="expression" dxfId="266" priority="70" stopIfTrue="1">
      <formula>AND(AI31&gt;0,T31="")</formula>
    </cfRule>
    <cfRule type="expression" dxfId="265" priority="71" stopIfTrue="1">
      <formula>(AI31=0)</formula>
    </cfRule>
  </conditionalFormatting>
  <conditionalFormatting sqref="Q31 Q33:Q34">
    <cfRule type="expression" dxfId="264" priority="72" stopIfTrue="1">
      <formula>AND(AG31&gt;0,Q31="")</formula>
    </cfRule>
    <cfRule type="expression" dxfId="263" priority="73" stopIfTrue="1">
      <formula>(AG31=0)</formula>
    </cfRule>
  </conditionalFormatting>
  <conditionalFormatting sqref="P31 P33:P34">
    <cfRule type="expression" dxfId="262" priority="69" stopIfTrue="1">
      <formula>(AG31=0)</formula>
    </cfRule>
  </conditionalFormatting>
  <conditionalFormatting sqref="S31 S33:S34">
    <cfRule type="expression" dxfId="261" priority="68" stopIfTrue="1">
      <formula>(AI31=0)</formula>
    </cfRule>
  </conditionalFormatting>
  <conditionalFormatting sqref="S32">
    <cfRule type="expression" dxfId="260" priority="62" stopIfTrue="1">
      <formula>(AI32=0)</formula>
    </cfRule>
  </conditionalFormatting>
  <conditionalFormatting sqref="T32">
    <cfRule type="expression" dxfId="259" priority="64" stopIfTrue="1">
      <formula>AND(AI32&gt;0,T32="")</formula>
    </cfRule>
    <cfRule type="expression" dxfId="258" priority="65" stopIfTrue="1">
      <formula>(AI32=0)</formula>
    </cfRule>
  </conditionalFormatting>
  <conditionalFormatting sqref="Q32">
    <cfRule type="expression" dxfId="257" priority="66" stopIfTrue="1">
      <formula>AND(AG32&gt;0,Q32="")</formula>
    </cfRule>
    <cfRule type="expression" dxfId="256" priority="67" stopIfTrue="1">
      <formula>(AG32=0)</formula>
    </cfRule>
  </conditionalFormatting>
  <conditionalFormatting sqref="P32">
    <cfRule type="expression" dxfId="255" priority="63" stopIfTrue="1">
      <formula>(AG32=0)</formula>
    </cfRule>
  </conditionalFormatting>
  <conditionalFormatting sqref="T35">
    <cfRule type="expression" dxfId="254" priority="58" stopIfTrue="1">
      <formula>AND(AI35&gt;0,T35="")</formula>
    </cfRule>
    <cfRule type="expression" dxfId="253" priority="59" stopIfTrue="1">
      <formula>AND(AI35=0)</formula>
    </cfRule>
  </conditionalFormatting>
  <conditionalFormatting sqref="AK35:AO35 AQ35:AT35">
    <cfRule type="expression" dxfId="252" priority="57">
      <formula>AK$7&gt;0</formula>
    </cfRule>
  </conditionalFormatting>
  <conditionalFormatting sqref="Q35">
    <cfRule type="expression" dxfId="251" priority="60" stopIfTrue="1">
      <formula>AND(AG35&gt;0,Q35="")</formula>
    </cfRule>
    <cfRule type="expression" dxfId="250" priority="61" stopIfTrue="1">
      <formula>(AG35=0)</formula>
    </cfRule>
  </conditionalFormatting>
  <conditionalFormatting sqref="P35">
    <cfRule type="expression" dxfId="249" priority="56" stopIfTrue="1">
      <formula>(AG35=0)</formula>
    </cfRule>
  </conditionalFormatting>
  <conditionalFormatting sqref="S35">
    <cfRule type="expression" dxfId="248" priority="55" stopIfTrue="1">
      <formula>AND(AI35=0)</formula>
    </cfRule>
  </conditionalFormatting>
  <conditionalFormatting sqref="T36:T47">
    <cfRule type="expression" dxfId="247" priority="51" stopIfTrue="1">
      <formula>AND(AI36&gt;0,T36="")</formula>
    </cfRule>
    <cfRule type="expression" dxfId="246" priority="52" stopIfTrue="1">
      <formula>(AI36=0)</formula>
    </cfRule>
  </conditionalFormatting>
  <conditionalFormatting sqref="Q36:Q47">
    <cfRule type="expression" dxfId="245" priority="53" stopIfTrue="1">
      <formula>AND(AG36&gt;0,Q36="")</formula>
    </cfRule>
    <cfRule type="expression" dxfId="244" priority="54" stopIfTrue="1">
      <formula>(AG36=0)</formula>
    </cfRule>
  </conditionalFormatting>
  <conditionalFormatting sqref="P36:P47">
    <cfRule type="expression" dxfId="243" priority="50" stopIfTrue="1">
      <formula>(AG36=0)</formula>
    </cfRule>
  </conditionalFormatting>
  <conditionalFormatting sqref="S36:S47">
    <cfRule type="expression" dxfId="242" priority="49" stopIfTrue="1">
      <formula>(AI36=0)</formula>
    </cfRule>
  </conditionalFormatting>
  <conditionalFormatting sqref="T49:T61">
    <cfRule type="expression" dxfId="241" priority="43" stopIfTrue="1">
      <formula>AND(AI49&gt;0,T49="")</formula>
    </cfRule>
    <cfRule type="expression" dxfId="240" priority="44" stopIfTrue="1">
      <formula>(AI49=0)</formula>
    </cfRule>
  </conditionalFormatting>
  <conditionalFormatting sqref="T48">
    <cfRule type="expression" dxfId="239" priority="45" stopIfTrue="1">
      <formula>AND(AI48&gt;0,T48="")</formula>
    </cfRule>
    <cfRule type="expression" dxfId="238" priority="46" stopIfTrue="1">
      <formula>AND(AI48=0)</formula>
    </cfRule>
  </conditionalFormatting>
  <conditionalFormatting sqref="AQ48:AT48 AK48:AO48">
    <cfRule type="expression" dxfId="237" priority="42">
      <formula>AK$7&gt;0</formula>
    </cfRule>
  </conditionalFormatting>
  <conditionalFormatting sqref="Q48:Q61">
    <cfRule type="expression" dxfId="236" priority="47" stopIfTrue="1">
      <formula>AND(AG48&gt;0,Q48="")</formula>
    </cfRule>
    <cfRule type="expression" dxfId="235" priority="48" stopIfTrue="1">
      <formula>(AG48=0)</formula>
    </cfRule>
  </conditionalFormatting>
  <conditionalFormatting sqref="P48:P61">
    <cfRule type="expression" dxfId="234" priority="41" stopIfTrue="1">
      <formula>(AG48=0)</formula>
    </cfRule>
  </conditionalFormatting>
  <conditionalFormatting sqref="S49:S61">
    <cfRule type="expression" dxfId="233" priority="39" stopIfTrue="1">
      <formula>(AI49=0)</formula>
    </cfRule>
  </conditionalFormatting>
  <conditionalFormatting sqref="S48">
    <cfRule type="expression" dxfId="232" priority="40" stopIfTrue="1">
      <formula>AND(AI48=0)</formula>
    </cfRule>
  </conditionalFormatting>
  <conditionalFormatting sqref="T101:T111 T79:T99 T64:T77">
    <cfRule type="expression" dxfId="231" priority="33" stopIfTrue="1">
      <formula>AND(AI64&gt;0,T64="")</formula>
    </cfRule>
    <cfRule type="expression" dxfId="230" priority="34" stopIfTrue="1">
      <formula>(AI64=0)</formula>
    </cfRule>
  </conditionalFormatting>
  <conditionalFormatting sqref="T63 T78 T100">
    <cfRule type="expression" dxfId="229" priority="35" stopIfTrue="1">
      <formula>AND(AI63&gt;0,T63="")</formula>
    </cfRule>
    <cfRule type="expression" dxfId="228" priority="36" stopIfTrue="1">
      <formula>AND(AI63=0)</formula>
    </cfRule>
  </conditionalFormatting>
  <conditionalFormatting sqref="AK78:AT78 AK63:AO63 AQ63:AT63 AK99:AT100">
    <cfRule type="expression" dxfId="227" priority="32">
      <formula>AK$7&gt;0</formula>
    </cfRule>
  </conditionalFormatting>
  <conditionalFormatting sqref="Q63:Q69 Q71:Q111">
    <cfRule type="expression" dxfId="226" priority="37" stopIfTrue="1">
      <formula>AND(AG63&gt;0,Q63="")</formula>
    </cfRule>
    <cfRule type="expression" dxfId="225" priority="38" stopIfTrue="1">
      <formula>(AG63=0)</formula>
    </cfRule>
  </conditionalFormatting>
  <conditionalFormatting sqref="P63:P69 P71:P111">
    <cfRule type="expression" dxfId="224" priority="31" stopIfTrue="1">
      <formula>(AG63=0)</formula>
    </cfRule>
  </conditionalFormatting>
  <conditionalFormatting sqref="S101:S111 S79:S99 S64:S77">
    <cfRule type="expression" dxfId="223" priority="29" stopIfTrue="1">
      <formula>(AI64=0)</formula>
    </cfRule>
  </conditionalFormatting>
  <conditionalFormatting sqref="S63 S78 S100">
    <cfRule type="expression" dxfId="222" priority="30" stopIfTrue="1">
      <formula>AND(AI63=0)</formula>
    </cfRule>
  </conditionalFormatting>
  <conditionalFormatting sqref="Q70">
    <cfRule type="expression" dxfId="221" priority="27" stopIfTrue="1">
      <formula>AND(AG70&gt;0,Q70="")</formula>
    </cfRule>
    <cfRule type="expression" dxfId="220" priority="28" stopIfTrue="1">
      <formula>(AG70=0)</formula>
    </cfRule>
  </conditionalFormatting>
  <conditionalFormatting sqref="P70">
    <cfRule type="expression" dxfId="219" priority="26" stopIfTrue="1">
      <formula>(AG70=0)</formula>
    </cfRule>
  </conditionalFormatting>
  <conditionalFormatting sqref="T113 T146:T157 T159:T171 T123:T144 T173:T181 T115:T120 T183:T194">
    <cfRule type="expression" dxfId="218" priority="22" stopIfTrue="1">
      <formula>AND(AI113&gt;0,T113="")</formula>
    </cfRule>
    <cfRule type="expression" dxfId="217" priority="23" stopIfTrue="1">
      <formula>(AI113=0)</formula>
    </cfRule>
  </conditionalFormatting>
  <conditionalFormatting sqref="AK113:AT120 AK124:AT128 AK146:AT157 AK138:AT144 AK166:AT171 AK174:AT183">
    <cfRule type="expression" dxfId="216" priority="21">
      <formula>AK$7&gt;0</formula>
    </cfRule>
  </conditionalFormatting>
  <conditionalFormatting sqref="AK159:AT164">
    <cfRule type="expression" dxfId="215" priority="20">
      <formula>AK$7&gt;0</formula>
    </cfRule>
  </conditionalFormatting>
  <conditionalFormatting sqref="AK165:AT165">
    <cfRule type="expression" dxfId="214" priority="19">
      <formula>AK$7&gt;0</formula>
    </cfRule>
  </conditionalFormatting>
  <conditionalFormatting sqref="AK158:AT158">
    <cfRule type="expression" dxfId="213" priority="18">
      <formula>AK$7&gt;0</formula>
    </cfRule>
  </conditionalFormatting>
  <conditionalFormatting sqref="T158">
    <cfRule type="expression" dxfId="212" priority="16" stopIfTrue="1">
      <formula>AND(AI158&gt;0,T158="")</formula>
    </cfRule>
    <cfRule type="expression" dxfId="211" priority="17" stopIfTrue="1">
      <formula>(AI158=0)</formula>
    </cfRule>
  </conditionalFormatting>
  <conditionalFormatting sqref="Q123:Q144 Q173:Q181 Q113 Q146:Q171 Q115:Q120 Q183:Q194">
    <cfRule type="expression" dxfId="210" priority="24" stopIfTrue="1">
      <formula>AND(AG113&gt;0,Q113="")</formula>
    </cfRule>
    <cfRule type="expression" dxfId="209" priority="25" stopIfTrue="1">
      <formula>(AG113=0)</formula>
    </cfRule>
  </conditionalFormatting>
  <conditionalFormatting sqref="P123:P144 P173:P181 P113 P115:P120 P183:P194 P146:P171">
    <cfRule type="expression" dxfId="208" priority="15" stopIfTrue="1">
      <formula>(AG113=0)</formula>
    </cfRule>
  </conditionalFormatting>
  <conditionalFormatting sqref="S113 S146:S157 S159:S171 S123:S144 S173:S181 S115:S120 S183:S194">
    <cfRule type="expression" dxfId="207" priority="14" stopIfTrue="1">
      <formula>(AI113=0)</formula>
    </cfRule>
  </conditionalFormatting>
  <conditionalFormatting sqref="S158">
    <cfRule type="expression" dxfId="206" priority="13" stopIfTrue="1">
      <formula>(AI158=0)</formula>
    </cfRule>
  </conditionalFormatting>
  <conditionalFormatting sqref="S182">
    <cfRule type="expression" dxfId="205" priority="1" stopIfTrue="1">
      <formula>(AI182=0)</formula>
    </cfRule>
  </conditionalFormatting>
  <conditionalFormatting sqref="T114">
    <cfRule type="expression" dxfId="204" priority="9" stopIfTrue="1">
      <formula>AND(AI114&gt;0,T114="")</formula>
    </cfRule>
    <cfRule type="expression" dxfId="203" priority="10" stopIfTrue="1">
      <formula>(AI114=0)</formula>
    </cfRule>
  </conditionalFormatting>
  <conditionalFormatting sqref="Q114">
    <cfRule type="expression" dxfId="202" priority="11" stopIfTrue="1">
      <formula>AND(AG114&gt;0,Q114="")</formula>
    </cfRule>
    <cfRule type="expression" dxfId="201" priority="12" stopIfTrue="1">
      <formula>(AG114=0)</formula>
    </cfRule>
  </conditionalFormatting>
  <conditionalFormatting sqref="P114">
    <cfRule type="expression" dxfId="200" priority="8" stopIfTrue="1">
      <formula>(AG114=0)</formula>
    </cfRule>
  </conditionalFormatting>
  <conditionalFormatting sqref="S114">
    <cfRule type="expression" dxfId="199" priority="7" stopIfTrue="1">
      <formula>(AI114=0)</formula>
    </cfRule>
  </conditionalFormatting>
  <conditionalFormatting sqref="Q182">
    <cfRule type="expression" dxfId="198" priority="5" stopIfTrue="1">
      <formula>AND(AG182&gt;0,Q182="")</formula>
    </cfRule>
    <cfRule type="expression" dxfId="197" priority="6" stopIfTrue="1">
      <formula>(AG182=0)</formula>
    </cfRule>
  </conditionalFormatting>
  <conditionalFormatting sqref="P182">
    <cfRule type="expression" dxfId="196" priority="4" stopIfTrue="1">
      <formula>(AG182=0)</formula>
    </cfRule>
  </conditionalFormatting>
  <conditionalFormatting sqref="T182">
    <cfRule type="expression" dxfId="195" priority="2" stopIfTrue="1">
      <formula>AND(AI182&gt;0,T182="")</formula>
    </cfRule>
    <cfRule type="expression" dxfId="194" priority="3" stopIfTrue="1">
      <formula>(AI182=0)</formula>
    </cfRule>
  </conditionalFormatting>
  <dataValidations xWindow="895" yWindow="482" count="2">
    <dataValidation allowBlank="1" showErrorMessage="1" sqref="AA14 AA10:AA11 AC10:AC11 P13:T194 AA59 AC63:AC64 AC32 AA89 AA54 AA48:AA49 AC59 AC89 AC68 AU78 AU63 AU100 AU10:AV10 AU20 AA40 AC54 AC48:AC49 AC40 AC100:AC101 AC93 AC78:AC79 AU48 AC105 AA93 AA100:AA101 AA105 AC74 AA74 AC14 AA82 AA78:AA79 AA68 AA63:AA64 AC82 AB10:AB113 Q10:T12 AC20:AC21 AA35:AA36 AA32 AU35 AC35:AC36 AA20:AA21 AA192 AC192 AA166 AC166 AA148 AA183:AA184 AA168 AC168 AA188 AC188 AA174 AC183:AC184 AA177 AC138:AC139 AC146 AC148 AA117:AC117 AC177 AA138:AA139 AA146 AA142 AA158 AC142 AU173:AU174 AA151 AU183 AU113:AU117 AU123:AU124 AU129 AU138 AU146 AU151 AU166 AC158 AA114:AC114 AB118:AB194 AC174 AB115:AB116 AC151" xr:uid="{00000000-0002-0000-0300-000000000000}"/>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V62 V172 V112 V145 V121:V122" xr:uid="{00000000-0002-0000-0300-000001000000}">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69" fitToHeight="2" orientation="portrait" verticalDpi="4294967293" r:id="rId1"/>
  <headerFooter alignWithMargins="0">
    <oddHeader>&amp;L&amp;F&amp;R&amp;A</oddHeader>
    <oddFooter>&amp;C&amp;P/&amp;N</oddFooter>
  </headerFooter>
  <rowBreaks count="1" manualBreakCount="1">
    <brk id="88" max="16"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G12"/>
  <sheetViews>
    <sheetView showGridLines="0" workbookViewId="0">
      <selection activeCell="C10" sqref="C10:E10"/>
    </sheetView>
  </sheetViews>
  <sheetFormatPr defaultColWidth="0" defaultRowHeight="13.5" zeroHeight="1"/>
  <cols>
    <col min="1" max="1" width="0.875" style="883" customWidth="1"/>
    <col min="2" max="2" width="17.375" style="883" customWidth="1"/>
    <col min="3" max="3" width="38" style="884" customWidth="1"/>
    <col min="4" max="4" width="14.25" style="883" customWidth="1"/>
    <col min="5" max="5" width="21.25" style="883" customWidth="1"/>
    <col min="6" max="6" width="1.375" style="883" customWidth="1"/>
    <col min="7" max="7" width="0" style="883" hidden="1" customWidth="1"/>
    <col min="8" max="16384" width="9" style="883" hidden="1"/>
  </cols>
  <sheetData>
    <row r="1" spans="2:7" s="869" customFormat="1" ht="21">
      <c r="B1" s="866" t="s">
        <v>2214</v>
      </c>
      <c r="C1" s="867"/>
      <c r="D1" s="868" t="s">
        <v>2215</v>
      </c>
      <c r="E1" s="2877" t="str">
        <f>メイン!C11</f>
        <v>○○ビル</v>
      </c>
    </row>
    <row r="2" spans="2:7" s="873" customFormat="1" thickBot="1">
      <c r="B2" s="870"/>
      <c r="C2" s="871"/>
      <c r="D2" s="871"/>
      <c r="E2" s="871"/>
      <c r="F2" s="872"/>
      <c r="G2" s="872"/>
    </row>
    <row r="3" spans="2:7" s="869" customFormat="1" ht="21" customHeight="1" thickBot="1">
      <c r="B3" s="874"/>
      <c r="C3" s="875" t="s">
        <v>2216</v>
      </c>
      <c r="D3" s="875"/>
      <c r="E3" s="876"/>
    </row>
    <row r="4" spans="2:7" s="878" customFormat="1" ht="81" customHeight="1" thickTop="1">
      <c r="B4" s="877" t="s">
        <v>2217</v>
      </c>
      <c r="C4" s="3658" t="s">
        <v>3293</v>
      </c>
      <c r="D4" s="3659"/>
      <c r="E4" s="3660"/>
    </row>
    <row r="5" spans="2:7" s="869" customFormat="1" ht="81" customHeight="1">
      <c r="B5" s="879" t="s">
        <v>2218</v>
      </c>
      <c r="C5" s="3661" t="s">
        <v>3294</v>
      </c>
      <c r="D5" s="3662"/>
      <c r="E5" s="3663"/>
    </row>
    <row r="6" spans="2:7" s="869" customFormat="1" ht="81" customHeight="1">
      <c r="B6" s="879" t="s">
        <v>2219</v>
      </c>
      <c r="C6" s="3661" t="s">
        <v>4162</v>
      </c>
      <c r="D6" s="3662"/>
      <c r="E6" s="3663"/>
    </row>
    <row r="7" spans="2:7" s="869" customFormat="1" ht="81" customHeight="1">
      <c r="B7" s="879" t="s">
        <v>2220</v>
      </c>
      <c r="C7" s="3661" t="s">
        <v>3295</v>
      </c>
      <c r="D7" s="3662"/>
      <c r="E7" s="3663"/>
    </row>
    <row r="8" spans="2:7" s="869" customFormat="1" ht="81" customHeight="1">
      <c r="B8" s="879" t="s">
        <v>1605</v>
      </c>
      <c r="C8" s="3661" t="s">
        <v>3296</v>
      </c>
      <c r="D8" s="3662"/>
      <c r="E8" s="3663"/>
    </row>
    <row r="9" spans="2:7" s="869" customFormat="1" ht="81" customHeight="1">
      <c r="B9" s="879" t="s">
        <v>2221</v>
      </c>
      <c r="C9" s="3661" t="s">
        <v>3297</v>
      </c>
      <c r="D9" s="3662"/>
      <c r="E9" s="3663"/>
    </row>
    <row r="10" spans="2:7" s="869" customFormat="1" ht="81" customHeight="1" thickBot="1">
      <c r="B10" s="880" t="s">
        <v>1868</v>
      </c>
      <c r="C10" s="3667" t="s">
        <v>4163</v>
      </c>
      <c r="D10" s="3668"/>
      <c r="E10" s="3669"/>
    </row>
    <row r="11" spans="2:7" s="869" customFormat="1" ht="122.25" customHeight="1" thickTop="1" thickBot="1">
      <c r="B11" s="881" t="s">
        <v>2222</v>
      </c>
      <c r="C11" s="3664" t="s">
        <v>3298</v>
      </c>
      <c r="D11" s="3665"/>
      <c r="E11" s="3666"/>
    </row>
    <row r="12" spans="2:7" s="869" customFormat="1">
      <c r="C12" s="882"/>
    </row>
  </sheetData>
  <sheetProtection algorithmName="SHA-512" hashValue="GQzZGp7Jpmdz9LoQLI5PSf26UL9qsr0i/qzVHTrrQaEFPmV/jawmhDG1DthRO+kBh+RAs+YNDv5YHt+9icAI3w==" saltValue="LgYvrG28aEssWZ7Z/wFZbQ==" spinCount="100000" sheet="1" objects="1" scenarios="1" selectLockedCells="1"/>
  <mergeCells count="8">
    <mergeCell ref="C4:E4"/>
    <mergeCell ref="C9:E9"/>
    <mergeCell ref="C11:E11"/>
    <mergeCell ref="C5:E5"/>
    <mergeCell ref="C6:E6"/>
    <mergeCell ref="C7:E7"/>
    <mergeCell ref="C8:E8"/>
    <mergeCell ref="C10:E10"/>
  </mergeCells>
  <phoneticPr fontId="21"/>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E166"/>
  <sheetViews>
    <sheetView showGridLines="0" zoomScaleNormal="100" workbookViewId="0">
      <selection activeCell="C28" sqref="C28"/>
    </sheetView>
  </sheetViews>
  <sheetFormatPr defaultColWidth="0" defaultRowHeight="13.5" zeroHeight="1"/>
  <cols>
    <col min="1" max="1" width="1.25" customWidth="1"/>
    <col min="2" max="2" width="5.875" style="140" customWidth="1"/>
    <col min="3" max="3" width="28.125" style="140" customWidth="1"/>
    <col min="4" max="4" width="15" style="140" customWidth="1"/>
    <col min="5" max="5" width="13.125" style="140" customWidth="1"/>
    <col min="6" max="6" width="9.875" customWidth="1"/>
    <col min="7" max="7" width="3" customWidth="1"/>
    <col min="8" max="8" width="4.125" customWidth="1"/>
    <col min="9" max="9" width="29.375" bestFit="1" customWidth="1"/>
    <col min="10" max="10" width="10.75" bestFit="1" customWidth="1"/>
    <col min="11" max="11" width="12.5" bestFit="1" customWidth="1"/>
    <col min="12" max="12" width="27.375" style="2445" customWidth="1"/>
    <col min="13" max="13" width="12.5" style="2445" customWidth="1"/>
    <col min="14" max="14" width="4.375" customWidth="1"/>
    <col min="15" max="15" width="2.875" customWidth="1"/>
    <col min="16" max="16" width="5.625" hidden="1" customWidth="1"/>
    <col min="17" max="18" width="14.125" hidden="1" customWidth="1"/>
    <col min="19" max="19" width="2.125" hidden="1" customWidth="1"/>
    <col min="20" max="21" width="14.125" hidden="1" customWidth="1"/>
    <col min="22" max="31" width="0" hidden="1" customWidth="1"/>
    <col min="32" max="16384" width="9" hidden="1"/>
  </cols>
  <sheetData>
    <row r="1" spans="2:31" s="102" customFormat="1" ht="9.75" customHeight="1" thickBot="1"/>
    <row r="2" spans="2:31" s="107" customFormat="1" ht="18.75">
      <c r="B2" s="103" t="s">
        <v>168</v>
      </c>
      <c r="C2" s="104"/>
      <c r="D2" s="105"/>
      <c r="E2" s="104"/>
      <c r="F2" s="106"/>
      <c r="G2" s="102"/>
      <c r="H2" s="113" t="s">
        <v>3466</v>
      </c>
      <c r="I2" s="114"/>
      <c r="J2" s="114"/>
      <c r="K2" s="114"/>
      <c r="L2" s="114"/>
      <c r="M2" s="114"/>
      <c r="N2" s="115"/>
      <c r="O2" s="102"/>
      <c r="P2" s="102"/>
      <c r="Q2" s="102"/>
      <c r="R2" s="102"/>
      <c r="S2" s="102"/>
      <c r="T2" s="102"/>
      <c r="U2" s="102"/>
      <c r="V2" s="102"/>
      <c r="W2" s="102"/>
      <c r="X2" s="102"/>
      <c r="Y2" s="102"/>
      <c r="Z2" s="102"/>
      <c r="AA2" s="102"/>
      <c r="AB2" s="102"/>
      <c r="AC2" s="102"/>
      <c r="AD2" s="102"/>
      <c r="AE2" s="102"/>
    </row>
    <row r="3" spans="2:31" s="107" customFormat="1" ht="21" customHeight="1">
      <c r="B3" s="108" t="s">
        <v>1437</v>
      </c>
      <c r="C3" s="109"/>
      <c r="D3" s="110"/>
      <c r="E3" s="111"/>
      <c r="F3" s="112"/>
      <c r="G3" s="102"/>
      <c r="H3" s="121" t="s">
        <v>1988</v>
      </c>
      <c r="I3" s="119"/>
      <c r="J3" s="119"/>
      <c r="K3" s="119"/>
      <c r="L3" s="119"/>
      <c r="M3" s="119"/>
      <c r="N3" s="122"/>
      <c r="O3" s="102"/>
      <c r="Q3" s="116">
        <v>1</v>
      </c>
      <c r="R3" s="102" t="s">
        <v>1438</v>
      </c>
      <c r="S3" s="102"/>
      <c r="T3" s="102"/>
      <c r="U3" s="102"/>
      <c r="V3" s="102"/>
      <c r="W3" s="102"/>
      <c r="X3" s="102"/>
      <c r="Y3" s="102"/>
      <c r="Z3" s="102"/>
      <c r="AA3" s="102"/>
      <c r="AB3" s="102"/>
      <c r="AC3" s="102"/>
      <c r="AD3" s="102"/>
      <c r="AE3" s="102"/>
    </row>
    <row r="4" spans="2:31">
      <c r="B4" s="117"/>
      <c r="C4" s="118" t="s">
        <v>1439</v>
      </c>
      <c r="D4" s="118" t="s">
        <v>1440</v>
      </c>
      <c r="E4" s="119"/>
      <c r="F4" s="120"/>
      <c r="H4" s="121" t="s">
        <v>1990</v>
      </c>
      <c r="I4" s="119"/>
      <c r="J4" s="119"/>
      <c r="K4" s="119"/>
      <c r="L4" s="119"/>
      <c r="M4" s="119"/>
      <c r="N4" s="122"/>
    </row>
    <row r="5" spans="2:31">
      <c r="B5" s="117"/>
      <c r="C5" s="123" t="str">
        <f>IF($Q$7=0,"根拠を記入してください",$Q$7)</f>
        <v>根拠を記入してください</v>
      </c>
      <c r="D5" s="124" t="str">
        <f>IF($R$7=0,Q9,$R$7)</f>
        <v>N.A.</v>
      </c>
      <c r="E5" s="119" t="s">
        <v>1989</v>
      </c>
      <c r="F5" s="120"/>
      <c r="H5" s="121"/>
      <c r="I5" s="125" t="str">
        <f>CO2データ!D105</f>
        <v>北海道電力(株)</v>
      </c>
      <c r="J5" s="126">
        <f>CO2データ!I105</f>
        <v>6.8300000000000001E-4</v>
      </c>
      <c r="K5" s="119"/>
      <c r="L5" s="125" t="str">
        <f>CO2データ!D144</f>
        <v>(株)トヨタタービンアンドシステム</v>
      </c>
      <c r="M5" s="126">
        <f>CO2データ!I144</f>
        <v>4.9200000000000003E-4</v>
      </c>
      <c r="N5" s="127"/>
    </row>
    <row r="6" spans="2:31">
      <c r="B6" s="117"/>
      <c r="C6" s="119"/>
      <c r="D6" s="119"/>
      <c r="E6" s="119"/>
      <c r="F6" s="120"/>
      <c r="H6" s="121"/>
      <c r="I6" s="125" t="str">
        <f>CO2データ!D106</f>
        <v>東北電力(株)</v>
      </c>
      <c r="J6" s="126">
        <f>CO2データ!I106</f>
        <v>5.71E-4</v>
      </c>
      <c r="K6" s="121"/>
      <c r="L6" s="125" t="str">
        <f>CO2データ!D145</f>
        <v>(株)とんでん</v>
      </c>
      <c r="M6" s="126">
        <f>CO2データ!I145</f>
        <v>4.95E-4</v>
      </c>
      <c r="N6" s="127"/>
      <c r="Q6" t="s">
        <v>1441</v>
      </c>
      <c r="R6" t="s">
        <v>1442</v>
      </c>
    </row>
    <row r="7" spans="2:31">
      <c r="B7" s="117"/>
      <c r="C7" s="119"/>
      <c r="D7" s="119"/>
      <c r="E7" s="119"/>
      <c r="F7" s="120"/>
      <c r="H7" s="121"/>
      <c r="I7" s="125" t="str">
        <f>CO2データ!D107</f>
        <v>東京電力(株)</v>
      </c>
      <c r="J7" s="126">
        <f>CO2データ!I107</f>
        <v>5.0500000000000002E-4</v>
      </c>
      <c r="K7" s="121"/>
      <c r="L7" s="125" t="str">
        <f>CO2データ!D146</f>
        <v>(株)ナンワエナジー</v>
      </c>
      <c r="M7" s="126">
        <f>CO2データ!I146</f>
        <v>6.02E-4</v>
      </c>
      <c r="N7" s="127"/>
      <c r="Q7">
        <f>IF($Q$3=1,C10,IF($Q$3=2,C16,IF($Q$3=3,C20,IF($Q$3=4,C24,C28))))</f>
        <v>0</v>
      </c>
      <c r="R7">
        <f>IF($Q$3=1,D10,IF($Q$3=2,D16,IF($Q$3=3,D20,IF($Q$3=4,D24,D28))))</f>
        <v>0</v>
      </c>
    </row>
    <row r="8" spans="2:31">
      <c r="B8" s="117" t="s">
        <v>3061</v>
      </c>
      <c r="C8" s="119"/>
      <c r="D8" s="128"/>
      <c r="E8" s="119"/>
      <c r="F8" s="120"/>
      <c r="H8" s="121"/>
      <c r="I8" s="125" t="str">
        <f>CO2データ!D108</f>
        <v>中部電力(株)</v>
      </c>
      <c r="J8" s="126">
        <f>CO2データ!I108</f>
        <v>4.9700000000000005E-4</v>
      </c>
      <c r="K8" s="121"/>
      <c r="L8" s="125" t="str">
        <f>CO2データ!D147</f>
        <v>(株)日本セレモニー</v>
      </c>
      <c r="M8" s="126">
        <f>CO2データ!I147</f>
        <v>6.0999999999999997E-4</v>
      </c>
      <c r="N8" s="127"/>
    </row>
    <row r="9" spans="2:31">
      <c r="B9" s="117"/>
      <c r="C9" s="118" t="s">
        <v>1439</v>
      </c>
      <c r="D9" s="129" t="s">
        <v>1991</v>
      </c>
      <c r="E9" s="128"/>
      <c r="F9" s="120"/>
      <c r="H9" s="121"/>
      <c r="I9" s="125" t="str">
        <f>CO2データ!D109</f>
        <v>北陸電力(株)</v>
      </c>
      <c r="J9" s="126">
        <f>CO2データ!I109</f>
        <v>6.4700000000000001E-4</v>
      </c>
      <c r="K9" s="121"/>
      <c r="L9" s="125" t="str">
        <f>CO2データ!D148</f>
        <v>(株)Ｖ－Ｐｏｗｅｒ</v>
      </c>
      <c r="M9" s="126">
        <f>CO2データ!I148</f>
        <v>2.5399999999999999E-4</v>
      </c>
      <c r="N9" s="127"/>
      <c r="Q9" t="s">
        <v>1992</v>
      </c>
    </row>
    <row r="10" spans="2:31">
      <c r="B10" s="117"/>
      <c r="C10" s="130"/>
      <c r="D10" s="131"/>
      <c r="E10" s="119" t="s">
        <v>1993</v>
      </c>
      <c r="F10" s="120"/>
      <c r="H10" s="121"/>
      <c r="I10" s="125" t="str">
        <f>CO2データ!D110</f>
        <v>関西電力(株)</v>
      </c>
      <c r="J10" s="126">
        <f>CO2データ!I110</f>
        <v>5.31E-4</v>
      </c>
      <c r="K10" s="121"/>
      <c r="L10" s="125" t="str">
        <f>CO2データ!D149</f>
        <v>(株)フォレストパワー</v>
      </c>
      <c r="M10" s="126">
        <f>CO2データ!I149</f>
        <v>1.9000000000000001E-4</v>
      </c>
      <c r="N10" s="127"/>
    </row>
    <row r="11" spans="2:31">
      <c r="B11" s="117"/>
      <c r="C11" s="119"/>
      <c r="D11" s="119"/>
      <c r="E11" s="119"/>
      <c r="F11" s="120"/>
      <c r="H11" s="121"/>
      <c r="I11" s="125" t="str">
        <f>CO2データ!D111</f>
        <v>中国電力(株)</v>
      </c>
      <c r="J11" s="126">
        <f>CO2データ!I111</f>
        <v>7.0600000000000003E-4</v>
      </c>
      <c r="K11" s="121"/>
      <c r="L11" s="125" t="str">
        <f>CO2データ!D150</f>
        <v>(株)ベイサイドエナジー</v>
      </c>
      <c r="M11" s="126">
        <f>CO2データ!I150</f>
        <v>5.8100000000000003E-4</v>
      </c>
      <c r="N11" s="127"/>
    </row>
    <row r="12" spans="2:31">
      <c r="B12" s="117" t="s">
        <v>280</v>
      </c>
      <c r="C12" s="119"/>
      <c r="D12" s="119"/>
      <c r="E12" s="119"/>
      <c r="F12" s="120"/>
      <c r="H12" s="121"/>
      <c r="I12" s="125" t="str">
        <f>CO2データ!D112</f>
        <v>四国電力(株)</v>
      </c>
      <c r="J12" s="126">
        <f>CO2データ!I112</f>
        <v>6.7599999999999995E-4</v>
      </c>
      <c r="K12" s="121"/>
      <c r="L12" s="125" t="str">
        <f>CO2データ!D151</f>
        <v>京葉瓦斯(株)</v>
      </c>
      <c r="M12" s="126">
        <f>CO2データ!I151</f>
        <v>4.9399999999999997E-4</v>
      </c>
      <c r="N12" s="127"/>
    </row>
    <row r="13" spans="2:31">
      <c r="B13" s="132" t="s">
        <v>1994</v>
      </c>
      <c r="C13" s="3670" t="s">
        <v>3467</v>
      </c>
      <c r="D13" s="3670"/>
      <c r="E13" s="3670"/>
      <c r="F13" s="120"/>
      <c r="H13" s="121"/>
      <c r="I13" s="125" t="str">
        <f>CO2データ!D113</f>
        <v>九州電力(株)</v>
      </c>
      <c r="J13" s="126">
        <f>CO2データ!I113</f>
        <v>5.8399999999999999E-4</v>
      </c>
      <c r="K13" s="121"/>
      <c r="L13" s="125" t="str">
        <f>CO2データ!D152</f>
        <v>サミットエナジー(株)</v>
      </c>
      <c r="M13" s="126">
        <f>CO2データ!I152</f>
        <v>4.1300000000000001E-4</v>
      </c>
      <c r="N13" s="127"/>
    </row>
    <row r="14" spans="2:31">
      <c r="B14" s="132"/>
      <c r="C14" s="3670"/>
      <c r="D14" s="3670"/>
      <c r="E14" s="3670"/>
      <c r="F14" s="120"/>
      <c r="H14" s="121"/>
      <c r="I14" s="125" t="str">
        <f>CO2データ!D114</f>
        <v>沖縄電力(株)</v>
      </c>
      <c r="J14" s="126">
        <f>CO2データ!I114</f>
        <v>8.1599999999999999E-4</v>
      </c>
      <c r="K14" s="121"/>
      <c r="L14" s="125" t="str">
        <f>CO2データ!D153</f>
        <v>ＪＸ日鉱日石エネルギー(株)</v>
      </c>
      <c r="M14" s="126">
        <f>CO2データ!I153</f>
        <v>3.2499999999999999E-4</v>
      </c>
      <c r="N14" s="127"/>
    </row>
    <row r="15" spans="2:31">
      <c r="B15" s="117"/>
      <c r="C15" s="118" t="s">
        <v>281</v>
      </c>
      <c r="D15" s="129" t="s">
        <v>1995</v>
      </c>
      <c r="E15" s="128"/>
      <c r="F15" s="120"/>
      <c r="H15" s="121"/>
      <c r="I15" s="125" t="str">
        <f>CO2データ!D115</f>
        <v>アーバンエナジー(株)</v>
      </c>
      <c r="J15" s="126">
        <f>CO2データ!I115</f>
        <v>4.0999999999999999E-4</v>
      </c>
      <c r="K15" s="121"/>
      <c r="L15" s="125" t="str">
        <f>CO2データ!D154</f>
        <v>ＪＬエナジー(株)</v>
      </c>
      <c r="M15" s="126">
        <f>CO2データ!I154</f>
        <v>5.53E-4</v>
      </c>
      <c r="N15" s="127"/>
    </row>
    <row r="16" spans="2:31">
      <c r="B16" s="117"/>
      <c r="C16" s="131"/>
      <c r="D16" s="135" t="e">
        <f>VLOOKUP(C16,C89:D166,2)</f>
        <v>#N/A</v>
      </c>
      <c r="E16" s="119" t="s">
        <v>282</v>
      </c>
      <c r="F16" s="120"/>
      <c r="H16" s="121"/>
      <c r="I16" s="125" t="str">
        <f>CO2データ!D116</f>
        <v>アストモスエネルギー(株)</v>
      </c>
      <c r="J16" s="126">
        <f>CO2データ!I116</f>
        <v>1.9000000000000001E-4</v>
      </c>
      <c r="K16" s="121"/>
      <c r="L16" s="125" t="str">
        <f>CO2データ!D155</f>
        <v>志賀高原リゾート開発(株)</v>
      </c>
      <c r="M16" s="126">
        <f>CO2データ!I155</f>
        <v>3.6000000000000001E-5</v>
      </c>
      <c r="N16" s="127"/>
    </row>
    <row r="17" spans="2:14" ht="15" customHeight="1">
      <c r="B17" s="117"/>
      <c r="C17" s="133"/>
      <c r="D17" s="133"/>
      <c r="E17" s="133"/>
      <c r="F17" s="120"/>
      <c r="H17" s="121"/>
      <c r="I17" s="125" t="str">
        <f>CO2データ!D117</f>
        <v>イーレックス(株)</v>
      </c>
      <c r="J17" s="126">
        <f>CO2データ!I117</f>
        <v>6.6200000000000005E-4</v>
      </c>
      <c r="K17" s="121"/>
      <c r="L17" s="125" t="str">
        <f>CO2データ!D156</f>
        <v>シナネン(株)</v>
      </c>
      <c r="M17" s="126">
        <f>CO2データ!I156</f>
        <v>4.1599999999999997E-4</v>
      </c>
      <c r="N17" s="127"/>
    </row>
    <row r="18" spans="2:14" ht="15" customHeight="1">
      <c r="B18" s="132" t="s">
        <v>1996</v>
      </c>
      <c r="C18" s="119" t="s">
        <v>283</v>
      </c>
      <c r="D18" s="128"/>
      <c r="E18" s="119"/>
      <c r="F18" s="120"/>
      <c r="H18" s="121"/>
      <c r="I18" s="125" t="str">
        <f>CO2データ!D118</f>
        <v>（一財）中之条電力</v>
      </c>
      <c r="J18" s="126">
        <f>CO2データ!I118</f>
        <v>3.1599999999999998E-4</v>
      </c>
      <c r="K18" s="121"/>
      <c r="L18" s="125" t="str">
        <f>CO2データ!D157</f>
        <v>昭和シェル石油(株)</v>
      </c>
      <c r="M18" s="126">
        <f>CO2データ!I157</f>
        <v>3.7199999999999999E-4</v>
      </c>
      <c r="N18" s="127"/>
    </row>
    <row r="19" spans="2:14" ht="15" customHeight="1">
      <c r="B19" s="117"/>
      <c r="C19" s="118" t="s">
        <v>1439</v>
      </c>
      <c r="D19" s="129" t="s">
        <v>1991</v>
      </c>
      <c r="E19" s="128"/>
      <c r="F19" s="120"/>
      <c r="H19" s="121"/>
      <c r="I19" s="125" t="str">
        <f>CO2データ!D119</f>
        <v>（一社）電力託送代行機構</v>
      </c>
      <c r="J19" s="126">
        <f>CO2データ!I119</f>
        <v>3.1599999999999998E-4</v>
      </c>
      <c r="K19" s="121"/>
      <c r="L19" s="125" t="str">
        <f>CO2データ!D158</f>
        <v>新日鉄住金エンジニアリング(株)</v>
      </c>
      <c r="M19" s="126">
        <f>CO2データ!I158</f>
        <v>5.5999999999999995E-4</v>
      </c>
      <c r="N19" s="127"/>
    </row>
    <row r="20" spans="2:14" ht="15" customHeight="1">
      <c r="B20" s="117"/>
      <c r="C20" s="130"/>
      <c r="D20" s="131"/>
      <c r="E20" s="119" t="s">
        <v>1993</v>
      </c>
      <c r="F20" s="120"/>
      <c r="H20" s="121"/>
      <c r="I20" s="125" t="str">
        <f>CO2データ!D120</f>
        <v>出光グリーンパワー(株)</v>
      </c>
      <c r="J20" s="126">
        <f>CO2データ!I120</f>
        <v>2.5300000000000002E-4</v>
      </c>
      <c r="K20" s="121"/>
      <c r="L20" s="125" t="str">
        <f>CO2データ!D159</f>
        <v>鈴与商事(株)</v>
      </c>
      <c r="M20" s="126">
        <f>CO2データ!I159</f>
        <v>4.8799999999999999E-4</v>
      </c>
      <c r="N20" s="127"/>
    </row>
    <row r="21" spans="2:14" ht="15" customHeight="1">
      <c r="B21" s="117"/>
      <c r="C21" s="133"/>
      <c r="D21" s="133"/>
      <c r="E21" s="133"/>
      <c r="F21" s="120"/>
      <c r="H21" s="121"/>
      <c r="I21" s="125" t="str">
        <f>CO2データ!D121</f>
        <v>伊藤忠エネクス(株)</v>
      </c>
      <c r="J21" s="126">
        <f>CO2データ!I121</f>
        <v>5.6800000000000004E-4</v>
      </c>
      <c r="K21" s="121"/>
      <c r="L21" s="125" t="str">
        <f>CO2データ!D160</f>
        <v>泉北天然ガス発電(株)</v>
      </c>
      <c r="M21" s="126">
        <f>CO2データ!I160</f>
        <v>3.2899999999999997E-4</v>
      </c>
      <c r="N21" s="127"/>
    </row>
    <row r="22" spans="2:14" ht="15" customHeight="1">
      <c r="B22" s="132" t="s">
        <v>1997</v>
      </c>
      <c r="C22" s="119" t="s">
        <v>1998</v>
      </c>
      <c r="D22" s="119"/>
      <c r="E22" s="119"/>
      <c r="F22" s="120"/>
      <c r="H22" s="121"/>
      <c r="I22" s="125" t="str">
        <f>CO2データ!D122</f>
        <v>ＳＢパワー(株)</v>
      </c>
      <c r="J22" s="126">
        <f>CO2データ!I122</f>
        <v>2.5900000000000001E-4</v>
      </c>
      <c r="K22" s="121"/>
      <c r="L22" s="125" t="str">
        <f>CO2データ!D161</f>
        <v>総合エネルギー(株)</v>
      </c>
      <c r="M22" s="126">
        <f>CO2データ!I161</f>
        <v>6.3599999999999996E-4</v>
      </c>
      <c r="N22" s="127"/>
    </row>
    <row r="23" spans="2:14" ht="15" customHeight="1">
      <c r="B23" s="132"/>
      <c r="C23" s="118" t="s">
        <v>179</v>
      </c>
      <c r="D23" s="129" t="s">
        <v>1443</v>
      </c>
      <c r="E23" s="119"/>
      <c r="F23" s="120"/>
      <c r="H23" s="121"/>
      <c r="I23" s="125" t="str">
        <f>CO2データ!D123</f>
        <v>エネサーブ(株)</v>
      </c>
      <c r="J23" s="126">
        <f>CO2データ!I123</f>
        <v>6.3400000000000001E-4</v>
      </c>
      <c r="K23" s="121"/>
      <c r="L23" s="125" t="str">
        <f>CO2データ!D162</f>
        <v>大東エナジー(株)</v>
      </c>
      <c r="M23" s="126">
        <f>CO2データ!I162</f>
        <v>5.6599999999999999E-4</v>
      </c>
      <c r="N23" s="127"/>
    </row>
    <row r="24" spans="2:14" ht="15" customHeight="1">
      <c r="B24" s="117"/>
      <c r="C24" s="134" t="s">
        <v>178</v>
      </c>
      <c r="D24" s="135" t="str">
        <f>IF($Q$3=4,J85,"")</f>
        <v/>
      </c>
      <c r="E24" s="119" t="s">
        <v>1999</v>
      </c>
      <c r="F24" s="120"/>
      <c r="H24" s="121"/>
      <c r="I24" s="125" t="str">
        <f>CO2データ!D124</f>
        <v>荏原環境プラント(株)</v>
      </c>
      <c r="J24" s="126">
        <f>CO2データ!I124</f>
        <v>2.6600000000000001E-4</v>
      </c>
      <c r="K24" s="121"/>
      <c r="L24" s="125" t="str">
        <f>CO2データ!D163</f>
        <v>ダイヤモンドパワー(株)</v>
      </c>
      <c r="M24" s="126">
        <f>CO2データ!I163</f>
        <v>3.39E-4</v>
      </c>
      <c r="N24" s="127"/>
    </row>
    <row r="25" spans="2:14" ht="15" customHeight="1">
      <c r="B25" s="117"/>
      <c r="C25" s="119"/>
      <c r="D25" s="119"/>
      <c r="E25" s="119"/>
      <c r="F25" s="120"/>
      <c r="H25" s="121"/>
      <c r="I25" s="125" t="str">
        <f>CO2データ!D125</f>
        <v>王子製紙(株)</v>
      </c>
      <c r="J25" s="126">
        <f>CO2データ!I125</f>
        <v>4.3800000000000002E-4</v>
      </c>
      <c r="K25" s="121"/>
      <c r="L25" s="125" t="str">
        <f>CO2データ!D164</f>
        <v>大和ハウス工業(株)</v>
      </c>
      <c r="M25" s="126">
        <f>CO2データ!I164</f>
        <v>5.1900000000000004E-4</v>
      </c>
      <c r="N25" s="127"/>
    </row>
    <row r="26" spans="2:14" ht="15" customHeight="1">
      <c r="B26" s="117" t="s">
        <v>2000</v>
      </c>
      <c r="C26" s="119"/>
      <c r="D26" s="128"/>
      <c r="E26" s="119"/>
      <c r="F26" s="120"/>
      <c r="H26" s="121"/>
      <c r="I26" s="125" t="str">
        <f>CO2データ!D126</f>
        <v>オリックス(株)</v>
      </c>
      <c r="J26" s="126">
        <f>CO2データ!I126</f>
        <v>4.9799999999999996E-4</v>
      </c>
      <c r="K26" s="121"/>
      <c r="L26" s="125" t="str">
        <f>CO2データ!D165</f>
        <v>中央電力エナジー(株)</v>
      </c>
      <c r="M26" s="126">
        <f>CO2データ!I165</f>
        <v>5.5999999999999995E-4</v>
      </c>
      <c r="N26" s="127"/>
    </row>
    <row r="27" spans="2:14" ht="15" customHeight="1">
      <c r="B27" s="117"/>
      <c r="C27" s="118" t="s">
        <v>1439</v>
      </c>
      <c r="D27" s="129" t="s">
        <v>1991</v>
      </c>
      <c r="E27" s="128"/>
      <c r="F27" s="120"/>
      <c r="H27" s="121"/>
      <c r="I27" s="125" t="str">
        <f>CO2データ!D127</f>
        <v>(株)イーセル</v>
      </c>
      <c r="J27" s="126">
        <f>CO2データ!I127</f>
        <v>5.1099999999999995E-4</v>
      </c>
      <c r="K27" s="121"/>
      <c r="L27" s="125" t="str">
        <f>CO2データ!D166</f>
        <v>テス・エンジニアリング(株)</v>
      </c>
      <c r="M27" s="126">
        <f>CO2データ!I166</f>
        <v>5.9900000000000003E-4</v>
      </c>
      <c r="N27" s="127"/>
    </row>
    <row r="28" spans="2:14" ht="15" customHeight="1">
      <c r="B28" s="117"/>
      <c r="C28" s="130"/>
      <c r="D28" s="131"/>
      <c r="E28" s="119" t="s">
        <v>1993</v>
      </c>
      <c r="F28" s="120"/>
      <c r="H28" s="121"/>
      <c r="I28" s="125" t="str">
        <f>CO2データ!D128</f>
        <v>(株)岩手ウッドパワー</v>
      </c>
      <c r="J28" s="126">
        <f>CO2データ!I128</f>
        <v>4.3999999999999999E-5</v>
      </c>
      <c r="K28" s="121"/>
      <c r="L28" s="125" t="str">
        <f>CO2データ!D167</f>
        <v>テプコカスタマーサービス(株)</v>
      </c>
      <c r="M28" s="126">
        <f>CO2データ!I167</f>
        <v>4.8700000000000002E-4</v>
      </c>
      <c r="N28" s="127"/>
    </row>
    <row r="29" spans="2:14" ht="15" customHeight="1">
      <c r="B29" s="117"/>
      <c r="C29" s="3444"/>
      <c r="D29" s="3444"/>
      <c r="E29" s="3445"/>
      <c r="F29" s="112"/>
      <c r="H29" s="121"/>
      <c r="I29" s="125" t="str">
        <f>CO2データ!D129</f>
        <v>(株)うなかみの大地</v>
      </c>
      <c r="J29" s="126">
        <f>CO2データ!I129</f>
        <v>1.06E-4</v>
      </c>
      <c r="K29" s="121"/>
      <c r="L29" s="125" t="str">
        <f>CO2データ!D168</f>
        <v>東京エコサービス(株)</v>
      </c>
      <c r="M29" s="126">
        <f>CO2データ!I168</f>
        <v>7.1000000000000005E-5</v>
      </c>
      <c r="N29" s="127"/>
    </row>
    <row r="30" spans="2:14" ht="15" customHeight="1">
      <c r="B30" s="117"/>
      <c r="C30" s="3444"/>
      <c r="D30" s="3444"/>
      <c r="E30" s="3445"/>
      <c r="F30" s="112"/>
      <c r="H30" s="121"/>
      <c r="I30" s="125" t="str">
        <f>CO2データ!D130</f>
        <v>(株)ＳＥウイングズ</v>
      </c>
      <c r="J30" s="126">
        <f>CO2データ!I130</f>
        <v>4.6200000000000001E-4</v>
      </c>
      <c r="K30" s="121"/>
      <c r="L30" s="125" t="str">
        <f>CO2データ!D169</f>
        <v>にちほクラウド電力(株)</v>
      </c>
      <c r="M30" s="126">
        <f>CO2データ!I169</f>
        <v>5.3899999999999998E-4</v>
      </c>
      <c r="N30" s="127"/>
    </row>
    <row r="31" spans="2:14" ht="15" customHeight="1">
      <c r="B31" s="117"/>
      <c r="C31" s="3444"/>
      <c r="D31" s="3444"/>
      <c r="E31" s="3445"/>
      <c r="F31" s="112"/>
      <c r="H31" s="121"/>
      <c r="I31" s="125" t="str">
        <f>CO2データ!D131</f>
        <v>(株)エヌパワー</v>
      </c>
      <c r="J31" s="126">
        <f>CO2データ!I131</f>
        <v>4.15E-4</v>
      </c>
      <c r="K31" s="121"/>
      <c r="L31" s="125" t="str">
        <f>CO2データ!D170</f>
        <v>日産トレーデイング(株)</v>
      </c>
      <c r="M31" s="126">
        <f>CO2データ!I170</f>
        <v>3.6499999999999998E-4</v>
      </c>
      <c r="N31" s="127"/>
    </row>
    <row r="32" spans="2:14" ht="15" customHeight="1">
      <c r="B32" s="117"/>
      <c r="C32" s="3444"/>
      <c r="D32" s="3444"/>
      <c r="E32" s="3445"/>
      <c r="F32" s="112"/>
      <c r="H32" s="121"/>
      <c r="I32" s="125" t="str">
        <f>CO2データ!D132</f>
        <v>(株)エネット</v>
      </c>
      <c r="J32" s="126">
        <f>CO2データ!I132</f>
        <v>4.5399999999999998E-4</v>
      </c>
      <c r="K32" s="121"/>
      <c r="L32" s="125" t="str">
        <f>CO2データ!D171</f>
        <v>日本アルファ電力(株)</v>
      </c>
      <c r="M32" s="126">
        <f>CO2データ!I171</f>
        <v>0</v>
      </c>
      <c r="N32" s="127"/>
    </row>
    <row r="33" spans="2:14" ht="15" customHeight="1">
      <c r="B33" s="117"/>
      <c r="C33" s="3444"/>
      <c r="D33" s="3444"/>
      <c r="E33" s="3445"/>
      <c r="F33" s="112"/>
      <c r="H33" s="121"/>
      <c r="I33" s="125" t="str">
        <f>CO2データ!D133</f>
        <v>(株)Ｆ－Ｐｏｗｅｒ</v>
      </c>
      <c r="J33" s="126">
        <f>CO2データ!I133</f>
        <v>4.5399999999999998E-4</v>
      </c>
      <c r="K33" s="121"/>
      <c r="L33" s="125" t="str">
        <f>CO2データ!D172</f>
        <v>日本テクノ(株)</v>
      </c>
      <c r="M33" s="126">
        <f>CO2データ!I172</f>
        <v>5.3200000000000003E-4</v>
      </c>
      <c r="N33" s="127"/>
    </row>
    <row r="34" spans="2:14" ht="15" customHeight="1">
      <c r="B34" s="117"/>
      <c r="C34" s="3444"/>
      <c r="D34" s="3444"/>
      <c r="E34" s="3445"/>
      <c r="F34" s="112"/>
      <c r="H34" s="121"/>
      <c r="I34" s="125" t="str">
        <f>CO2データ!D134</f>
        <v>(株)関電エネルギーソリューション</v>
      </c>
      <c r="J34" s="126">
        <f>CO2データ!I134</f>
        <v>5.4100000000000003E-4</v>
      </c>
      <c r="K34" s="121"/>
      <c r="L34" s="125" t="str">
        <f>CO2データ!D173</f>
        <v>日本ロジテック協同組合</v>
      </c>
      <c r="M34" s="126">
        <f>CO2データ!I173</f>
        <v>3.86E-4</v>
      </c>
      <c r="N34" s="127"/>
    </row>
    <row r="35" spans="2:14" ht="15" customHeight="1">
      <c r="B35" s="117"/>
      <c r="C35" s="3444"/>
      <c r="D35" s="3444"/>
      <c r="E35" s="3445"/>
      <c r="F35" s="112"/>
      <c r="H35" s="121"/>
      <c r="I35" s="125" t="str">
        <f>CO2データ!D135</f>
        <v>(株)クールトラスト</v>
      </c>
      <c r="J35" s="126">
        <f>CO2データ!I135</f>
        <v>4.9200000000000003E-4</v>
      </c>
      <c r="K35" s="121"/>
      <c r="L35" s="125" t="str">
        <f>CO2データ!D174</f>
        <v>パナソニック(株)</v>
      </c>
      <c r="M35" s="126">
        <f>CO2データ!I174</f>
        <v>6.2200000000000005E-4</v>
      </c>
      <c r="N35" s="127"/>
    </row>
    <row r="36" spans="2:14" ht="15" customHeight="1">
      <c r="B36" s="117"/>
      <c r="C36" s="3444"/>
      <c r="D36" s="3444"/>
      <c r="E36" s="3445"/>
      <c r="F36" s="112"/>
      <c r="H36" s="121"/>
      <c r="I36" s="125" t="str">
        <f>CO2データ!D136</f>
        <v>(株)グローバルエンジニアリング</v>
      </c>
      <c r="J36" s="126">
        <f>CO2データ!I136</f>
        <v>4.7199999999999998E-4</v>
      </c>
      <c r="K36" s="121"/>
      <c r="L36" s="125" t="str">
        <f>CO2データ!D175</f>
        <v>プレミアムグリーンパワー(株)</v>
      </c>
      <c r="M36" s="126">
        <f>CO2データ!I175</f>
        <v>1.1E-5</v>
      </c>
      <c r="N36" s="127"/>
    </row>
    <row r="37" spans="2:14" ht="15" customHeight="1">
      <c r="B37" s="117"/>
      <c r="C37" s="3444"/>
      <c r="D37" s="3444"/>
      <c r="E37" s="3445"/>
      <c r="F37" s="112"/>
      <c r="H37" s="121"/>
      <c r="I37" s="125" t="str">
        <f>CO2データ!D137</f>
        <v>(株)ケーキュービック</v>
      </c>
      <c r="J37" s="126">
        <f>CO2データ!I137</f>
        <v>1.5300000000000001E-4</v>
      </c>
      <c r="K37" s="121"/>
      <c r="L37" s="125" t="str">
        <f>CO2データ!D176</f>
        <v>本田技研工業(株)</v>
      </c>
      <c r="M37" s="126">
        <f>CO2データ!I176</f>
        <v>5.8E-4</v>
      </c>
      <c r="N37" s="127"/>
    </row>
    <row r="38" spans="2:14" ht="15" customHeight="1">
      <c r="B38" s="117"/>
      <c r="C38" s="3444"/>
      <c r="D38" s="3444"/>
      <c r="E38" s="3445"/>
      <c r="F38" s="112"/>
      <c r="H38" s="121"/>
      <c r="I38" s="125" t="str">
        <f>CO2データ!D138</f>
        <v>(株)洸陽電機</v>
      </c>
      <c r="J38" s="126">
        <f>CO2データ!I138</f>
        <v>3.48E-4</v>
      </c>
      <c r="K38" s="121"/>
      <c r="L38" s="125" t="str">
        <f>CO2データ!D177</f>
        <v>丸紅(株)</v>
      </c>
      <c r="M38" s="126">
        <f>CO2データ!I177</f>
        <v>4.8200000000000001E-4</v>
      </c>
      <c r="N38" s="127"/>
    </row>
    <row r="39" spans="2:14" ht="15" customHeight="1">
      <c r="B39" s="117"/>
      <c r="C39" s="3444"/>
      <c r="D39" s="3444"/>
      <c r="E39" s="3445"/>
      <c r="F39" s="112"/>
      <c r="H39" s="121"/>
      <c r="I39" s="125" t="str">
        <f>CO2データ!D139</f>
        <v>(株)サイサン</v>
      </c>
      <c r="J39" s="126">
        <f>CO2データ!I139</f>
        <v>3.7300000000000001E-4</v>
      </c>
      <c r="K39" s="121"/>
      <c r="L39" s="125" t="str">
        <f>CO2データ!D178</f>
        <v>ミサワホーム(株)</v>
      </c>
      <c r="M39" s="126">
        <f>CO2データ!I178</f>
        <v>3.1100000000000002E-4</v>
      </c>
      <c r="N39" s="127"/>
    </row>
    <row r="40" spans="2:14" ht="15" customHeight="1">
      <c r="B40" s="117"/>
      <c r="C40" s="3444"/>
      <c r="D40" s="3444"/>
      <c r="E40" s="3445"/>
      <c r="F40" s="112"/>
      <c r="H40" s="121"/>
      <c r="I40" s="125" t="str">
        <f>CO2データ!D140</f>
        <v>(株)サニックス</v>
      </c>
      <c r="J40" s="126">
        <f>CO2データ!I140</f>
        <v>9.0000000000000002E-6</v>
      </c>
      <c r="K40" s="121"/>
      <c r="L40" s="125" t="str">
        <f>CO2データ!D179</f>
        <v>三井物産(株)</v>
      </c>
      <c r="M40" s="126">
        <f>CO2データ!I179</f>
        <v>0</v>
      </c>
      <c r="N40" s="127"/>
    </row>
    <row r="41" spans="2:14" ht="15" customHeight="1">
      <c r="B41" s="117"/>
      <c r="C41" s="3444"/>
      <c r="D41" s="3444"/>
      <c r="E41" s="3445"/>
      <c r="F41" s="112"/>
      <c r="H41" s="121"/>
      <c r="I41" s="125" t="str">
        <f>CO2データ!D141</f>
        <v>(株)ＣＮＯパワーソリューションズ</v>
      </c>
      <c r="J41" s="126">
        <f>CO2データ!I141</f>
        <v>5.3700000000000004E-4</v>
      </c>
      <c r="K41" s="121"/>
      <c r="L41" s="125" t="str">
        <f>CO2データ!D180</f>
        <v>ミツウロコグリーンエネルギー(株)</v>
      </c>
      <c r="M41" s="126">
        <f>CO2データ!I180</f>
        <v>4.66E-4</v>
      </c>
      <c r="N41" s="127"/>
    </row>
    <row r="42" spans="2:14" ht="15" customHeight="1">
      <c r="B42" s="117"/>
      <c r="C42" s="3444"/>
      <c r="D42" s="3444"/>
      <c r="E42" s="3445"/>
      <c r="F42" s="112"/>
      <c r="H42" s="121"/>
      <c r="I42" s="125" t="str">
        <f>CO2データ!D142</f>
        <v>(株)Ｇ－Ｐｏｗｅｒ</v>
      </c>
      <c r="J42" s="126">
        <f>CO2データ!I142</f>
        <v>1.7000000000000001E-4</v>
      </c>
      <c r="K42" s="121"/>
      <c r="L42" s="125" t="str">
        <f>CO2データ!D181</f>
        <v>リエスパワー(株)</v>
      </c>
      <c r="M42" s="126">
        <f>CO2データ!I181</f>
        <v>5.8200000000000005E-4</v>
      </c>
      <c r="N42" s="127"/>
    </row>
    <row r="43" spans="2:14" s="2445" customFormat="1" ht="15" customHeight="1">
      <c r="B43" s="117"/>
      <c r="C43" s="3444"/>
      <c r="D43" s="3444"/>
      <c r="E43" s="3445"/>
      <c r="F43" s="112"/>
      <c r="H43" s="121"/>
      <c r="I43" s="125" t="str">
        <f>CO2データ!D143</f>
        <v>(株)新出光</v>
      </c>
      <c r="J43" s="126">
        <f>CO2データ!I143</f>
        <v>4.8700000000000002E-4</v>
      </c>
      <c r="K43" s="121"/>
      <c r="L43" s="125" t="str">
        <f>CO2データ!D182</f>
        <v>ワタミファーム＆エナジー(株)</v>
      </c>
      <c r="M43" s="126">
        <f>CO2データ!I182</f>
        <v>4.5399999999999998E-4</v>
      </c>
      <c r="N43" s="127"/>
    </row>
    <row r="44" spans="2:14" s="2445" customFormat="1" ht="15" hidden="1" customHeight="1">
      <c r="B44" s="117"/>
      <c r="C44" s="3444"/>
      <c r="D44" s="3444"/>
      <c r="E44" s="3445"/>
      <c r="F44" s="112"/>
      <c r="H44" s="121"/>
      <c r="I44" s="125" t="str">
        <f>CO2データ!D144</f>
        <v>(株)トヨタタービンアンドシステム</v>
      </c>
      <c r="J44" s="126">
        <f>CO2データ!I144</f>
        <v>4.9200000000000003E-4</v>
      </c>
      <c r="K44" s="119"/>
      <c r="L44" s="111"/>
      <c r="M44" s="2928"/>
      <c r="N44" s="127"/>
    </row>
    <row r="45" spans="2:14" s="2445" customFormat="1" ht="15" hidden="1" customHeight="1">
      <c r="B45" s="117"/>
      <c r="C45" s="3444"/>
      <c r="D45" s="3444"/>
      <c r="E45" s="3445"/>
      <c r="F45" s="112"/>
      <c r="H45" s="121"/>
      <c r="I45" s="125" t="str">
        <f>CO2データ!D145</f>
        <v>(株)とんでん</v>
      </c>
      <c r="J45" s="126">
        <f>CO2データ!I145</f>
        <v>4.95E-4</v>
      </c>
      <c r="K45" s="119"/>
      <c r="L45" s="111"/>
      <c r="M45" s="2928"/>
      <c r="N45" s="127"/>
    </row>
    <row r="46" spans="2:14" s="2445" customFormat="1" ht="15" hidden="1" customHeight="1">
      <c r="B46" s="117"/>
      <c r="C46" s="3444"/>
      <c r="D46" s="3444"/>
      <c r="E46" s="3445"/>
      <c r="F46" s="112"/>
      <c r="H46" s="121"/>
      <c r="I46" s="125" t="str">
        <f>CO2データ!D146</f>
        <v>(株)ナンワエナジー</v>
      </c>
      <c r="J46" s="126">
        <f>CO2データ!I146</f>
        <v>6.02E-4</v>
      </c>
      <c r="K46" s="119"/>
      <c r="L46" s="111"/>
      <c r="M46" s="2928"/>
      <c r="N46" s="127"/>
    </row>
    <row r="47" spans="2:14" s="2445" customFormat="1" ht="15" hidden="1" customHeight="1">
      <c r="B47" s="117"/>
      <c r="C47" s="3444"/>
      <c r="D47" s="3444"/>
      <c r="E47" s="3445"/>
      <c r="F47" s="112"/>
      <c r="H47" s="121"/>
      <c r="I47" s="125" t="str">
        <f>CO2データ!D147</f>
        <v>(株)日本セレモニー</v>
      </c>
      <c r="J47" s="126">
        <f>CO2データ!I147</f>
        <v>6.0999999999999997E-4</v>
      </c>
      <c r="K47" s="119"/>
      <c r="L47" s="111"/>
      <c r="M47" s="2928"/>
      <c r="N47" s="127"/>
    </row>
    <row r="48" spans="2:14" s="2445" customFormat="1" ht="15" hidden="1" customHeight="1">
      <c r="B48" s="117"/>
      <c r="C48" s="3444"/>
      <c r="D48" s="3444"/>
      <c r="E48" s="3445"/>
      <c r="F48" s="112"/>
      <c r="H48" s="121"/>
      <c r="I48" s="125" t="str">
        <f>CO2データ!D148</f>
        <v>(株)Ｖ－Ｐｏｗｅｒ</v>
      </c>
      <c r="J48" s="126">
        <f>CO2データ!I148</f>
        <v>2.5399999999999999E-4</v>
      </c>
      <c r="K48" s="119"/>
      <c r="L48" s="111"/>
      <c r="M48" s="2928"/>
      <c r="N48" s="127"/>
    </row>
    <row r="49" spans="2:14" s="2445" customFormat="1" ht="15" hidden="1" customHeight="1">
      <c r="B49" s="117"/>
      <c r="C49" s="3444"/>
      <c r="D49" s="3444"/>
      <c r="E49" s="3445"/>
      <c r="F49" s="112"/>
      <c r="H49" s="121"/>
      <c r="I49" s="125" t="str">
        <f>CO2データ!D149</f>
        <v>(株)フォレストパワー</v>
      </c>
      <c r="J49" s="126">
        <f>CO2データ!I149</f>
        <v>1.9000000000000001E-4</v>
      </c>
      <c r="K49" s="119"/>
      <c r="L49" s="111"/>
      <c r="M49" s="2928"/>
      <c r="N49" s="127"/>
    </row>
    <row r="50" spans="2:14" s="2445" customFormat="1" ht="15" hidden="1" customHeight="1">
      <c r="B50" s="117"/>
      <c r="C50" s="3444"/>
      <c r="D50" s="3444"/>
      <c r="E50" s="3445"/>
      <c r="F50" s="112"/>
      <c r="H50" s="121"/>
      <c r="I50" s="125" t="str">
        <f>CO2データ!D150</f>
        <v>(株)ベイサイドエナジー</v>
      </c>
      <c r="J50" s="126">
        <f>CO2データ!I150</f>
        <v>5.8100000000000003E-4</v>
      </c>
      <c r="K50" s="119"/>
      <c r="L50" s="111"/>
      <c r="M50" s="2928"/>
      <c r="N50" s="127"/>
    </row>
    <row r="51" spans="2:14" s="2445" customFormat="1" ht="15" hidden="1" customHeight="1">
      <c r="B51" s="117"/>
      <c r="C51" s="3444"/>
      <c r="D51" s="3444"/>
      <c r="E51" s="3445"/>
      <c r="F51" s="112"/>
      <c r="H51" s="121"/>
      <c r="I51" s="125" t="str">
        <f>CO2データ!D151</f>
        <v>京葉瓦斯(株)</v>
      </c>
      <c r="J51" s="126">
        <f>CO2データ!I151</f>
        <v>4.9399999999999997E-4</v>
      </c>
      <c r="K51" s="119"/>
      <c r="L51" s="111"/>
      <c r="M51" s="2928"/>
      <c r="N51" s="127"/>
    </row>
    <row r="52" spans="2:14" s="2445" customFormat="1" ht="15" hidden="1" customHeight="1">
      <c r="B52" s="117"/>
      <c r="C52" s="3444"/>
      <c r="D52" s="3444"/>
      <c r="E52" s="3445"/>
      <c r="F52" s="112"/>
      <c r="H52" s="121"/>
      <c r="I52" s="125" t="str">
        <f>CO2データ!D152</f>
        <v>サミットエナジー(株)</v>
      </c>
      <c r="J52" s="126">
        <f>CO2データ!I152</f>
        <v>4.1300000000000001E-4</v>
      </c>
      <c r="K52" s="119"/>
      <c r="L52" s="111"/>
      <c r="M52" s="2928"/>
      <c r="N52" s="127"/>
    </row>
    <row r="53" spans="2:14" s="2445" customFormat="1" ht="15" hidden="1" customHeight="1">
      <c r="B53" s="117"/>
      <c r="C53" s="3444"/>
      <c r="D53" s="3444"/>
      <c r="E53" s="3445"/>
      <c r="F53" s="112"/>
      <c r="H53" s="121"/>
      <c r="I53" s="125" t="str">
        <f>CO2データ!D153</f>
        <v>ＪＸ日鉱日石エネルギー(株)</v>
      </c>
      <c r="J53" s="126">
        <f>CO2データ!I153</f>
        <v>3.2499999999999999E-4</v>
      </c>
      <c r="K53" s="119"/>
      <c r="L53" s="111"/>
      <c r="M53" s="2928"/>
      <c r="N53" s="127"/>
    </row>
    <row r="54" spans="2:14" s="2445" customFormat="1" ht="15" hidden="1" customHeight="1">
      <c r="B54" s="117"/>
      <c r="C54" s="3444"/>
      <c r="D54" s="3444"/>
      <c r="E54" s="3445"/>
      <c r="F54" s="112"/>
      <c r="H54" s="121"/>
      <c r="I54" s="125" t="str">
        <f>CO2データ!D154</f>
        <v>ＪＬエナジー(株)</v>
      </c>
      <c r="J54" s="126">
        <f>CO2データ!I154</f>
        <v>5.53E-4</v>
      </c>
      <c r="K54" s="119"/>
      <c r="L54" s="111"/>
      <c r="M54" s="2928"/>
      <c r="N54" s="127"/>
    </row>
    <row r="55" spans="2:14" s="2445" customFormat="1" ht="15" hidden="1" customHeight="1">
      <c r="B55" s="117"/>
      <c r="C55" s="3444"/>
      <c r="D55" s="3444"/>
      <c r="E55" s="3445"/>
      <c r="F55" s="112"/>
      <c r="H55" s="121"/>
      <c r="I55" s="125" t="str">
        <f>CO2データ!D155</f>
        <v>志賀高原リゾート開発(株)</v>
      </c>
      <c r="J55" s="126">
        <f>CO2データ!I155</f>
        <v>3.6000000000000001E-5</v>
      </c>
      <c r="K55" s="119"/>
      <c r="L55" s="111"/>
      <c r="M55" s="2928"/>
      <c r="N55" s="127"/>
    </row>
    <row r="56" spans="2:14" s="2445" customFormat="1" ht="15" hidden="1" customHeight="1">
      <c r="B56" s="117"/>
      <c r="C56" s="3444"/>
      <c r="D56" s="3444"/>
      <c r="E56" s="3445"/>
      <c r="F56" s="112"/>
      <c r="H56" s="121"/>
      <c r="I56" s="125" t="str">
        <f>CO2データ!D156</f>
        <v>シナネン(株)</v>
      </c>
      <c r="J56" s="126">
        <f>CO2データ!I156</f>
        <v>4.1599999999999997E-4</v>
      </c>
      <c r="K56" s="119"/>
      <c r="L56" s="111"/>
      <c r="M56" s="2928"/>
      <c r="N56" s="127"/>
    </row>
    <row r="57" spans="2:14" s="2445" customFormat="1" ht="15" hidden="1" customHeight="1">
      <c r="B57" s="117"/>
      <c r="C57" s="3444"/>
      <c r="D57" s="3444"/>
      <c r="E57" s="3445"/>
      <c r="F57" s="112"/>
      <c r="H57" s="121"/>
      <c r="I57" s="125" t="str">
        <f>CO2データ!D157</f>
        <v>昭和シェル石油(株)</v>
      </c>
      <c r="J57" s="126">
        <f>CO2データ!I157</f>
        <v>3.7199999999999999E-4</v>
      </c>
      <c r="K57" s="119"/>
      <c r="L57" s="111"/>
      <c r="M57" s="2928"/>
      <c r="N57" s="127"/>
    </row>
    <row r="58" spans="2:14" s="2445" customFormat="1" ht="15" hidden="1" customHeight="1">
      <c r="B58" s="117"/>
      <c r="C58" s="3444"/>
      <c r="D58" s="3444"/>
      <c r="E58" s="3445"/>
      <c r="F58" s="112"/>
      <c r="H58" s="121"/>
      <c r="I58" s="125" t="str">
        <f>CO2データ!D158</f>
        <v>新日鉄住金エンジニアリング(株)</v>
      </c>
      <c r="J58" s="126">
        <f>CO2データ!I158</f>
        <v>5.5999999999999995E-4</v>
      </c>
      <c r="K58" s="119"/>
      <c r="L58" s="111"/>
      <c r="M58" s="2928"/>
      <c r="N58" s="127"/>
    </row>
    <row r="59" spans="2:14" s="2445" customFormat="1" ht="15" hidden="1" customHeight="1">
      <c r="B59" s="117"/>
      <c r="C59" s="3444"/>
      <c r="D59" s="3444"/>
      <c r="E59" s="3445"/>
      <c r="F59" s="112"/>
      <c r="H59" s="121"/>
      <c r="I59" s="125" t="str">
        <f>CO2データ!D159</f>
        <v>鈴与商事(株)</v>
      </c>
      <c r="J59" s="126">
        <f>CO2データ!I159</f>
        <v>4.8799999999999999E-4</v>
      </c>
      <c r="K59" s="119"/>
      <c r="L59" s="111"/>
      <c r="M59" s="2928"/>
      <c r="N59" s="127"/>
    </row>
    <row r="60" spans="2:14" s="2445" customFormat="1" ht="15" hidden="1" customHeight="1">
      <c r="B60" s="117"/>
      <c r="C60" s="3444"/>
      <c r="D60" s="3444"/>
      <c r="E60" s="3445"/>
      <c r="F60" s="112"/>
      <c r="H60" s="121"/>
      <c r="I60" s="125" t="str">
        <f>CO2データ!D160</f>
        <v>泉北天然ガス発電(株)</v>
      </c>
      <c r="J60" s="126">
        <f>CO2データ!I160</f>
        <v>3.2899999999999997E-4</v>
      </c>
      <c r="K60" s="119"/>
      <c r="L60" s="111"/>
      <c r="M60" s="2928"/>
      <c r="N60" s="127"/>
    </row>
    <row r="61" spans="2:14" s="2445" customFormat="1" ht="15" hidden="1" customHeight="1">
      <c r="B61" s="117"/>
      <c r="C61" s="3444"/>
      <c r="D61" s="3444"/>
      <c r="E61" s="3445"/>
      <c r="F61" s="112"/>
      <c r="H61" s="121"/>
      <c r="I61" s="125" t="str">
        <f>CO2データ!D161</f>
        <v>総合エネルギー(株)</v>
      </c>
      <c r="J61" s="126">
        <f>CO2データ!I161</f>
        <v>6.3599999999999996E-4</v>
      </c>
      <c r="K61" s="119"/>
      <c r="L61" s="111"/>
      <c r="M61" s="2928"/>
      <c r="N61" s="127"/>
    </row>
    <row r="62" spans="2:14" s="2445" customFormat="1" ht="15" hidden="1" customHeight="1">
      <c r="B62" s="117"/>
      <c r="C62" s="3444"/>
      <c r="D62" s="3444"/>
      <c r="E62" s="3445"/>
      <c r="F62" s="112"/>
      <c r="H62" s="121"/>
      <c r="I62" s="125" t="str">
        <f>CO2データ!D162</f>
        <v>大東エナジー(株)</v>
      </c>
      <c r="J62" s="126">
        <f>CO2データ!I162</f>
        <v>5.6599999999999999E-4</v>
      </c>
      <c r="K62" s="119"/>
      <c r="L62" s="111"/>
      <c r="M62" s="2928"/>
      <c r="N62" s="127"/>
    </row>
    <row r="63" spans="2:14" s="2445" customFormat="1" ht="15" hidden="1" customHeight="1">
      <c r="B63" s="117"/>
      <c r="C63" s="3444"/>
      <c r="D63" s="3444"/>
      <c r="E63" s="3445"/>
      <c r="F63" s="112"/>
      <c r="H63" s="121"/>
      <c r="I63" s="125" t="str">
        <f>CO2データ!D163</f>
        <v>ダイヤモンドパワー(株)</v>
      </c>
      <c r="J63" s="126">
        <f>CO2データ!I163</f>
        <v>3.39E-4</v>
      </c>
      <c r="K63" s="119"/>
      <c r="L63" s="111"/>
      <c r="M63" s="2928"/>
      <c r="N63" s="127"/>
    </row>
    <row r="64" spans="2:14" s="2445" customFormat="1" ht="15" hidden="1" customHeight="1">
      <c r="B64" s="117"/>
      <c r="C64" s="3444"/>
      <c r="D64" s="3444"/>
      <c r="E64" s="3445"/>
      <c r="F64" s="112"/>
      <c r="H64" s="121"/>
      <c r="I64" s="125" t="str">
        <f>CO2データ!D164</f>
        <v>大和ハウス工業(株)</v>
      </c>
      <c r="J64" s="126">
        <f>CO2データ!I164</f>
        <v>5.1900000000000004E-4</v>
      </c>
      <c r="K64" s="119"/>
      <c r="L64" s="111"/>
      <c r="M64" s="2928"/>
      <c r="N64" s="127"/>
    </row>
    <row r="65" spans="2:14" s="2445" customFormat="1" ht="15" hidden="1" customHeight="1">
      <c r="B65" s="117"/>
      <c r="C65" s="3444"/>
      <c r="D65" s="3444"/>
      <c r="E65" s="3445"/>
      <c r="F65" s="112"/>
      <c r="H65" s="121"/>
      <c r="I65" s="125" t="str">
        <f>CO2データ!D165</f>
        <v>中央電力エナジー(株)</v>
      </c>
      <c r="J65" s="126">
        <f>CO2データ!I165</f>
        <v>5.5999999999999995E-4</v>
      </c>
      <c r="K65" s="119"/>
      <c r="L65" s="111"/>
      <c r="M65" s="2928"/>
      <c r="N65" s="127"/>
    </row>
    <row r="66" spans="2:14" s="2445" customFormat="1" ht="15" hidden="1" customHeight="1">
      <c r="B66" s="117"/>
      <c r="C66" s="3444"/>
      <c r="D66" s="3444"/>
      <c r="E66" s="3445"/>
      <c r="F66" s="112"/>
      <c r="H66" s="121"/>
      <c r="I66" s="125" t="str">
        <f>CO2データ!D166</f>
        <v>テス・エンジニアリング(株)</v>
      </c>
      <c r="J66" s="126">
        <f>CO2データ!I166</f>
        <v>5.9900000000000003E-4</v>
      </c>
      <c r="K66" s="119"/>
      <c r="L66" s="111"/>
      <c r="M66" s="2928"/>
      <c r="N66" s="127"/>
    </row>
    <row r="67" spans="2:14" s="2445" customFormat="1" ht="15" hidden="1" customHeight="1">
      <c r="B67" s="117"/>
      <c r="C67" s="3444"/>
      <c r="D67" s="3444"/>
      <c r="E67" s="3445"/>
      <c r="F67" s="112"/>
      <c r="H67" s="121"/>
      <c r="I67" s="125" t="str">
        <f>CO2データ!D167</f>
        <v>テプコカスタマーサービス(株)</v>
      </c>
      <c r="J67" s="126">
        <f>CO2データ!I167</f>
        <v>4.8700000000000002E-4</v>
      </c>
      <c r="K67" s="119"/>
      <c r="L67" s="111"/>
      <c r="M67" s="2928"/>
      <c r="N67" s="127"/>
    </row>
    <row r="68" spans="2:14" s="2445" customFormat="1" ht="15" hidden="1" customHeight="1">
      <c r="B68" s="117"/>
      <c r="C68" s="3444"/>
      <c r="D68" s="3444"/>
      <c r="E68" s="3445"/>
      <c r="F68" s="112"/>
      <c r="H68" s="121"/>
      <c r="I68" s="125" t="str">
        <f>CO2データ!D168</f>
        <v>東京エコサービス(株)</v>
      </c>
      <c r="J68" s="126">
        <f>CO2データ!I168</f>
        <v>7.1000000000000005E-5</v>
      </c>
      <c r="K68" s="119"/>
      <c r="L68" s="111"/>
      <c r="M68" s="2928"/>
      <c r="N68" s="127"/>
    </row>
    <row r="69" spans="2:14" s="2445" customFormat="1" ht="15" hidden="1" customHeight="1">
      <c r="B69" s="117"/>
      <c r="C69" s="3444"/>
      <c r="D69" s="3444"/>
      <c r="E69" s="3445"/>
      <c r="F69" s="112"/>
      <c r="H69" s="121"/>
      <c r="I69" s="125" t="str">
        <f>CO2データ!D169</f>
        <v>にちほクラウド電力(株)</v>
      </c>
      <c r="J69" s="126">
        <f>CO2データ!I169</f>
        <v>5.3899999999999998E-4</v>
      </c>
      <c r="K69" s="119"/>
      <c r="L69" s="111"/>
      <c r="M69" s="2928"/>
      <c r="N69" s="127"/>
    </row>
    <row r="70" spans="2:14" s="2445" customFormat="1" ht="15" hidden="1" customHeight="1">
      <c r="B70" s="117"/>
      <c r="C70" s="3444"/>
      <c r="D70" s="3444"/>
      <c r="E70" s="3445"/>
      <c r="F70" s="112"/>
      <c r="H70" s="121"/>
      <c r="I70" s="125" t="str">
        <f>CO2データ!D170</f>
        <v>日産トレーデイング(株)</v>
      </c>
      <c r="J70" s="126">
        <f>CO2データ!I170</f>
        <v>3.6499999999999998E-4</v>
      </c>
      <c r="K70" s="119"/>
      <c r="L70" s="111"/>
      <c r="M70" s="2928"/>
      <c r="N70" s="127"/>
    </row>
    <row r="71" spans="2:14" s="2445" customFormat="1" ht="15" hidden="1" customHeight="1">
      <c r="B71" s="117"/>
      <c r="C71" s="3444"/>
      <c r="D71" s="3444"/>
      <c r="E71" s="3445"/>
      <c r="F71" s="112"/>
      <c r="H71" s="121"/>
      <c r="I71" s="125" t="str">
        <f>CO2データ!D171</f>
        <v>日本アルファ電力(株)</v>
      </c>
      <c r="J71" s="126">
        <f>CO2データ!I171</f>
        <v>0</v>
      </c>
      <c r="K71" s="119"/>
      <c r="L71" s="111"/>
      <c r="M71" s="2928"/>
      <c r="N71" s="127"/>
    </row>
    <row r="72" spans="2:14" s="2445" customFormat="1" ht="15" hidden="1" customHeight="1">
      <c r="B72" s="117"/>
      <c r="C72" s="3444"/>
      <c r="D72" s="3444"/>
      <c r="E72" s="3445"/>
      <c r="F72" s="112"/>
      <c r="H72" s="121"/>
      <c r="I72" s="125" t="str">
        <f>CO2データ!D172</f>
        <v>日本テクノ(株)</v>
      </c>
      <c r="J72" s="126">
        <f>CO2データ!I172</f>
        <v>5.3200000000000003E-4</v>
      </c>
      <c r="K72" s="119"/>
      <c r="L72" s="111"/>
      <c r="M72" s="2928"/>
      <c r="N72" s="127"/>
    </row>
    <row r="73" spans="2:14" s="2445" customFormat="1" ht="15" hidden="1" customHeight="1">
      <c r="B73" s="117"/>
      <c r="C73" s="3444"/>
      <c r="D73" s="3444"/>
      <c r="E73" s="3445"/>
      <c r="F73" s="112"/>
      <c r="H73" s="121"/>
      <c r="I73" s="125" t="str">
        <f>CO2データ!D173</f>
        <v>日本ロジテック協同組合</v>
      </c>
      <c r="J73" s="126">
        <f>CO2データ!I173</f>
        <v>3.86E-4</v>
      </c>
      <c r="K73" s="119"/>
      <c r="L73" s="111"/>
      <c r="M73" s="2928"/>
      <c r="N73" s="127"/>
    </row>
    <row r="74" spans="2:14" s="2445" customFormat="1" ht="15" hidden="1" customHeight="1">
      <c r="B74" s="117"/>
      <c r="C74" s="3444"/>
      <c r="D74" s="3444"/>
      <c r="E74" s="3445"/>
      <c r="F74" s="112"/>
      <c r="H74" s="121"/>
      <c r="I74" s="125" t="str">
        <f>CO2データ!D174</f>
        <v>パナソニック(株)</v>
      </c>
      <c r="J74" s="126">
        <f>CO2データ!I174</f>
        <v>6.2200000000000005E-4</v>
      </c>
      <c r="K74" s="119"/>
      <c r="L74" s="111"/>
      <c r="M74" s="2928"/>
      <c r="N74" s="127"/>
    </row>
    <row r="75" spans="2:14" s="2445" customFormat="1" ht="15" hidden="1" customHeight="1">
      <c r="B75" s="117"/>
      <c r="C75" s="3444"/>
      <c r="D75" s="3444"/>
      <c r="E75" s="3445"/>
      <c r="F75" s="112"/>
      <c r="H75" s="121"/>
      <c r="I75" s="125" t="str">
        <f>CO2データ!D175</f>
        <v>プレミアムグリーンパワー(株)</v>
      </c>
      <c r="J75" s="126">
        <f>CO2データ!I175</f>
        <v>1.1E-5</v>
      </c>
      <c r="K75" s="119"/>
      <c r="L75" s="111"/>
      <c r="M75" s="2928"/>
      <c r="N75" s="127"/>
    </row>
    <row r="76" spans="2:14" s="2445" customFormat="1" ht="15" hidden="1" customHeight="1">
      <c r="B76" s="117"/>
      <c r="C76" s="3444"/>
      <c r="D76" s="3444"/>
      <c r="E76" s="3445"/>
      <c r="F76" s="112"/>
      <c r="H76" s="121"/>
      <c r="I76" s="125" t="str">
        <f>CO2データ!D176</f>
        <v>本田技研工業(株)</v>
      </c>
      <c r="J76" s="126">
        <f>CO2データ!I176</f>
        <v>5.8E-4</v>
      </c>
      <c r="K76" s="119"/>
      <c r="L76" s="111"/>
      <c r="M76" s="2928"/>
      <c r="N76" s="127"/>
    </row>
    <row r="77" spans="2:14" s="2445" customFormat="1" ht="15" hidden="1" customHeight="1">
      <c r="B77" s="117"/>
      <c r="C77" s="3444"/>
      <c r="D77" s="3444"/>
      <c r="E77" s="3445"/>
      <c r="F77" s="112"/>
      <c r="H77" s="121"/>
      <c r="I77" s="125" t="str">
        <f>CO2データ!D177</f>
        <v>丸紅(株)</v>
      </c>
      <c r="J77" s="126">
        <f>CO2データ!I177</f>
        <v>4.8200000000000001E-4</v>
      </c>
      <c r="K77" s="119"/>
      <c r="L77" s="111"/>
      <c r="M77" s="2928"/>
      <c r="N77" s="127"/>
    </row>
    <row r="78" spans="2:14" s="2445" customFormat="1" ht="15" hidden="1" customHeight="1">
      <c r="B78" s="117"/>
      <c r="C78" s="3444"/>
      <c r="D78" s="3444"/>
      <c r="E78" s="3445"/>
      <c r="F78" s="112"/>
      <c r="H78" s="121"/>
      <c r="I78" s="125" t="str">
        <f>CO2データ!D178</f>
        <v>ミサワホーム(株)</v>
      </c>
      <c r="J78" s="126">
        <f>CO2データ!I178</f>
        <v>3.1100000000000002E-4</v>
      </c>
      <c r="K78" s="119"/>
      <c r="L78" s="111"/>
      <c r="M78" s="2928"/>
      <c r="N78" s="127"/>
    </row>
    <row r="79" spans="2:14" s="2445" customFormat="1" ht="15" hidden="1" customHeight="1">
      <c r="B79" s="117"/>
      <c r="C79" s="3444"/>
      <c r="D79" s="3444"/>
      <c r="E79" s="3445"/>
      <c r="F79" s="112"/>
      <c r="H79" s="121"/>
      <c r="I79" s="125" t="str">
        <f>CO2データ!D179</f>
        <v>三井物産(株)</v>
      </c>
      <c r="J79" s="126">
        <f>CO2データ!I179</f>
        <v>0</v>
      </c>
      <c r="K79" s="119"/>
      <c r="L79" s="111"/>
      <c r="M79" s="2928"/>
      <c r="N79" s="127"/>
    </row>
    <row r="80" spans="2:14" s="2445" customFormat="1" ht="15" hidden="1" customHeight="1">
      <c r="B80" s="117"/>
      <c r="C80" s="3444"/>
      <c r="D80" s="3444"/>
      <c r="E80" s="3445"/>
      <c r="F80" s="112"/>
      <c r="H80" s="121"/>
      <c r="I80" s="125" t="str">
        <f>CO2データ!D180</f>
        <v>ミツウロコグリーンエネルギー(株)</v>
      </c>
      <c r="J80" s="126">
        <f>CO2データ!I180</f>
        <v>4.66E-4</v>
      </c>
      <c r="K80" s="119"/>
      <c r="L80" s="111"/>
      <c r="M80" s="2928"/>
      <c r="N80" s="127"/>
    </row>
    <row r="81" spans="2:14" s="2445" customFormat="1" ht="15" hidden="1" customHeight="1">
      <c r="B81" s="117"/>
      <c r="C81" s="3444"/>
      <c r="D81" s="3444"/>
      <c r="E81" s="3445"/>
      <c r="F81" s="112"/>
      <c r="H81" s="121"/>
      <c r="I81" s="125" t="str">
        <f>CO2データ!D181</f>
        <v>リエスパワー(株)</v>
      </c>
      <c r="J81" s="126">
        <f>CO2データ!I181</f>
        <v>5.8200000000000005E-4</v>
      </c>
      <c r="K81" s="119"/>
      <c r="L81" s="111"/>
      <c r="M81" s="2928"/>
      <c r="N81" s="127"/>
    </row>
    <row r="82" spans="2:14" s="2445" customFormat="1" ht="15" hidden="1" customHeight="1">
      <c r="B82" s="117"/>
      <c r="C82" s="3444"/>
      <c r="D82" s="3444"/>
      <c r="E82" s="3445"/>
      <c r="F82" s="112"/>
      <c r="H82" s="121"/>
      <c r="I82" s="125" t="str">
        <f>CO2データ!D182</f>
        <v>ワタミファーム＆エナジー(株)</v>
      </c>
      <c r="J82" s="126">
        <f>CO2データ!I182</f>
        <v>4.5399999999999998E-4</v>
      </c>
      <c r="K82" s="119"/>
      <c r="L82" s="111"/>
      <c r="M82" s="2928"/>
      <c r="N82" s="127"/>
    </row>
    <row r="83" spans="2:14" ht="15" customHeight="1">
      <c r="B83" s="117"/>
      <c r="C83" s="3444"/>
      <c r="D83" s="3444"/>
      <c r="E83" s="3445"/>
      <c r="F83" s="112"/>
      <c r="H83" s="121"/>
      <c r="I83" s="119"/>
      <c r="J83" s="119"/>
      <c r="K83" s="2929" t="s">
        <v>3464</v>
      </c>
      <c r="L83" s="119"/>
      <c r="M83" s="119"/>
      <c r="N83" s="127"/>
    </row>
    <row r="84" spans="2:14">
      <c r="B84" s="3446"/>
      <c r="C84" s="3445"/>
      <c r="D84" s="3445"/>
      <c r="E84" s="3445"/>
      <c r="F84" s="112"/>
      <c r="H84" s="121" t="s">
        <v>180</v>
      </c>
      <c r="I84" s="119"/>
      <c r="J84" s="119"/>
      <c r="K84" s="119"/>
      <c r="L84" s="119"/>
      <c r="M84" s="119"/>
      <c r="N84" s="127"/>
    </row>
    <row r="85" spans="2:14" ht="16.5">
      <c r="B85" s="3446"/>
      <c r="C85" s="3445"/>
      <c r="D85" s="3445"/>
      <c r="E85" s="3445"/>
      <c r="F85" s="112"/>
      <c r="H85" s="121"/>
      <c r="I85" s="136" t="str">
        <f>CO2データ!D184</f>
        <v>代替値</v>
      </c>
      <c r="J85" s="126">
        <f>CO2データ!I184</f>
        <v>5.7899999999999998E-4</v>
      </c>
      <c r="K85" s="2929" t="s">
        <v>3464</v>
      </c>
      <c r="L85" s="119"/>
      <c r="M85" s="119"/>
      <c r="N85" s="127"/>
    </row>
    <row r="86" spans="2:14" ht="14.25" thickBot="1">
      <c r="B86" s="3447"/>
      <c r="C86" s="3448"/>
      <c r="D86" s="3448"/>
      <c r="E86" s="3448"/>
      <c r="F86" s="3449"/>
      <c r="H86" s="137"/>
      <c r="I86" s="138"/>
      <c r="J86" s="138"/>
      <c r="K86" s="138"/>
      <c r="L86" s="138"/>
      <c r="M86" s="138"/>
      <c r="N86" s="139"/>
    </row>
    <row r="87" spans="2:14">
      <c r="H87" s="140"/>
    </row>
    <row r="88" spans="2:14" hidden="1">
      <c r="B88" s="140" t="s">
        <v>181</v>
      </c>
      <c r="D88" s="140" t="str">
        <f>CO2データ!I104</f>
        <v>実排出係数及び代替値</v>
      </c>
      <c r="F88" s="140" t="str">
        <f>CO2データ!K104</f>
        <v>調整後排出係数</v>
      </c>
      <c r="G88" s="140"/>
    </row>
    <row r="89" spans="2:14" hidden="1">
      <c r="C89" s="1623" t="s">
        <v>3374</v>
      </c>
      <c r="D89" s="140">
        <f>CO2データ!I118</f>
        <v>3.1599999999999998E-4</v>
      </c>
      <c r="F89" s="140">
        <f>CO2データ!K118</f>
        <v>5.5000000000000003E-4</v>
      </c>
      <c r="I89" s="141" t="s">
        <v>884</v>
      </c>
      <c r="J89" t="str">
        <f>IF(C5=C16,VLOOKUP(C5,C89:F166,4),"N.A.")</f>
        <v>N.A.</v>
      </c>
    </row>
    <row r="90" spans="2:14" hidden="1">
      <c r="C90" s="1623" t="s">
        <v>3375</v>
      </c>
      <c r="D90" s="140">
        <f>CO2データ!I119</f>
        <v>3.1599999999999998E-4</v>
      </c>
      <c r="F90" s="140">
        <f>CO2データ!K119</f>
        <v>5.6099999999999998E-4</v>
      </c>
      <c r="I90" s="141" t="s">
        <v>885</v>
      </c>
      <c r="J90" t="e">
        <f>D16-J89</f>
        <v>#N/A</v>
      </c>
    </row>
    <row r="91" spans="2:14" hidden="1">
      <c r="C91" s="1623" t="s">
        <v>3397</v>
      </c>
      <c r="D91" s="140">
        <f>CO2データ!I141</f>
        <v>5.3700000000000004E-4</v>
      </c>
      <c r="F91" s="140">
        <f>CO2データ!K141</f>
        <v>5.2400000000000005E-4</v>
      </c>
    </row>
    <row r="92" spans="2:14" hidden="1">
      <c r="C92" s="1623" t="s">
        <v>3389</v>
      </c>
      <c r="D92" s="140">
        <f>CO2データ!I133</f>
        <v>4.5399999999999998E-4</v>
      </c>
      <c r="F92" s="140">
        <f>CO2データ!K133</f>
        <v>3.9800000000000002E-4</v>
      </c>
    </row>
    <row r="93" spans="2:14" hidden="1">
      <c r="C93" s="1623" t="s">
        <v>3398</v>
      </c>
      <c r="D93" s="140">
        <f>CO2データ!I142</f>
        <v>1.7000000000000001E-4</v>
      </c>
      <c r="F93" s="140">
        <f>CO2データ!K142</f>
        <v>0</v>
      </c>
    </row>
    <row r="94" spans="2:14" hidden="1">
      <c r="C94" s="1623" t="s">
        <v>3386</v>
      </c>
      <c r="D94" s="140">
        <f>CO2データ!I130</f>
        <v>4.6200000000000001E-4</v>
      </c>
      <c r="F94" s="140">
        <f>CO2データ!K130</f>
        <v>4.4700000000000002E-4</v>
      </c>
    </row>
    <row r="95" spans="2:14" hidden="1">
      <c r="C95" s="1623" t="s">
        <v>3404</v>
      </c>
      <c r="D95" s="140">
        <f>CO2データ!I148</f>
        <v>2.5399999999999999E-4</v>
      </c>
      <c r="F95" s="140">
        <f>CO2データ!K148</f>
        <v>5.6099999999999998E-4</v>
      </c>
    </row>
    <row r="96" spans="2:14" hidden="1">
      <c r="C96" s="1623" t="s">
        <v>3383</v>
      </c>
      <c r="D96" s="140">
        <f>CO2データ!I127</f>
        <v>5.1099999999999995E-4</v>
      </c>
      <c r="F96" s="140">
        <f>CO2データ!K127</f>
        <v>4.9399999999999997E-4</v>
      </c>
    </row>
    <row r="97" spans="3:6" hidden="1">
      <c r="C97" s="1623" t="s">
        <v>3385</v>
      </c>
      <c r="D97" s="140">
        <f>CO2データ!I129</f>
        <v>1.06E-4</v>
      </c>
      <c r="F97" s="140">
        <f>CO2データ!K129</f>
        <v>7.4399999999999998E-4</v>
      </c>
    </row>
    <row r="98" spans="3:6" hidden="1">
      <c r="C98" s="1623" t="s">
        <v>3387</v>
      </c>
      <c r="D98" s="140">
        <f>CO2データ!I131</f>
        <v>4.15E-4</v>
      </c>
      <c r="F98" s="140">
        <f>CO2データ!K131</f>
        <v>5.53E-4</v>
      </c>
    </row>
    <row r="99" spans="3:6" hidden="1">
      <c r="C99" s="1623" t="s">
        <v>3388</v>
      </c>
      <c r="D99" s="140">
        <f>CO2データ!I132</f>
        <v>4.5399999999999998E-4</v>
      </c>
      <c r="F99" s="140">
        <f>CO2データ!K132</f>
        <v>4.6200000000000001E-4</v>
      </c>
    </row>
    <row r="100" spans="3:6" hidden="1">
      <c r="C100" s="1623" t="s">
        <v>3391</v>
      </c>
      <c r="D100" s="140">
        <f>CO2データ!I135</f>
        <v>4.9200000000000003E-4</v>
      </c>
      <c r="F100" s="140">
        <f>CO2データ!K135</f>
        <v>4.75E-4</v>
      </c>
    </row>
    <row r="101" spans="3:6" hidden="1">
      <c r="C101" s="1623" t="s">
        <v>3392</v>
      </c>
      <c r="D101" s="140">
        <f>CO2データ!I136</f>
        <v>4.7199999999999998E-4</v>
      </c>
      <c r="F101" s="140">
        <f>CO2データ!K136</f>
        <v>5.6800000000000004E-4</v>
      </c>
    </row>
    <row r="102" spans="3:6" hidden="1">
      <c r="C102" s="1623" t="s">
        <v>3393</v>
      </c>
      <c r="D102" s="140">
        <f>CO2データ!I137</f>
        <v>1.5300000000000001E-4</v>
      </c>
      <c r="F102" s="140">
        <f>CO2データ!K137</f>
        <v>5.9800000000000001E-4</v>
      </c>
    </row>
    <row r="103" spans="3:6" hidden="1">
      <c r="C103" s="1623" t="s">
        <v>3395</v>
      </c>
      <c r="D103" s="140">
        <f>CO2データ!I139</f>
        <v>3.7300000000000001E-4</v>
      </c>
      <c r="F103" s="140">
        <f>CO2データ!K139</f>
        <v>3.6000000000000002E-4</v>
      </c>
    </row>
    <row r="104" spans="3:6" hidden="1">
      <c r="C104" s="1623" t="s">
        <v>3396</v>
      </c>
      <c r="D104" s="140">
        <f>CO2データ!I140</f>
        <v>9.0000000000000002E-6</v>
      </c>
      <c r="F104" s="140">
        <f>CO2データ!K140</f>
        <v>9.0000000000000002E-6</v>
      </c>
    </row>
    <row r="105" spans="3:6" hidden="1">
      <c r="C105" s="1623" t="s">
        <v>3400</v>
      </c>
      <c r="D105" s="140">
        <f>CO2データ!I144</f>
        <v>4.9200000000000003E-4</v>
      </c>
      <c r="F105" s="140">
        <f>CO2データ!K144</f>
        <v>4.7699999999999999E-4</v>
      </c>
    </row>
    <row r="106" spans="3:6" hidden="1">
      <c r="C106" s="1623" t="s">
        <v>3401</v>
      </c>
      <c r="D106" s="140">
        <f>CO2データ!I145</f>
        <v>4.95E-4</v>
      </c>
      <c r="F106" s="140">
        <f>CO2データ!K145</f>
        <v>4.7899999999999999E-4</v>
      </c>
    </row>
    <row r="107" spans="3:6" hidden="1">
      <c r="C107" s="1623" t="s">
        <v>3402</v>
      </c>
      <c r="D107" s="140">
        <f>CO2データ!I146</f>
        <v>6.02E-4</v>
      </c>
      <c r="F107" s="140">
        <f>CO2データ!K146</f>
        <v>6.0099999999999997E-4</v>
      </c>
    </row>
    <row r="108" spans="3:6" hidden="1">
      <c r="C108" s="1623" t="s">
        <v>3405</v>
      </c>
      <c r="D108" s="140">
        <f>CO2データ!I149</f>
        <v>1.9000000000000001E-4</v>
      </c>
      <c r="F108" s="140">
        <f>CO2データ!K149</f>
        <v>6.9899999999999997E-4</v>
      </c>
    </row>
    <row r="109" spans="3:6" hidden="1">
      <c r="C109" s="1623" t="s">
        <v>3406</v>
      </c>
      <c r="D109" s="140">
        <f>CO2データ!I150</f>
        <v>5.8100000000000003E-4</v>
      </c>
      <c r="F109" s="140">
        <f>CO2データ!K150</f>
        <v>5.62E-4</v>
      </c>
    </row>
    <row r="110" spans="3:6" hidden="1">
      <c r="C110" s="1623" t="s">
        <v>3390</v>
      </c>
      <c r="D110" s="140">
        <f>CO2データ!I134</f>
        <v>5.4100000000000003E-4</v>
      </c>
      <c r="F110" s="140">
        <f>CO2データ!K134</f>
        <v>5.2800000000000004E-4</v>
      </c>
    </row>
    <row r="111" spans="3:6" hidden="1">
      <c r="C111" s="1623" t="s">
        <v>3384</v>
      </c>
      <c r="D111" s="140">
        <f>CO2データ!I128</f>
        <v>4.3999999999999999E-5</v>
      </c>
      <c r="F111" s="140">
        <f>CO2データ!K128</f>
        <v>4.1999999999999998E-5</v>
      </c>
    </row>
    <row r="112" spans="3:6" hidden="1">
      <c r="C112" s="1623" t="s">
        <v>3399</v>
      </c>
      <c r="D112" s="140">
        <f>CO2データ!I143</f>
        <v>4.8700000000000002E-4</v>
      </c>
      <c r="F112" s="140">
        <f>CO2データ!K143</f>
        <v>7.2800000000000002E-4</v>
      </c>
    </row>
    <row r="113" spans="2:6" hidden="1">
      <c r="C113" s="1623" t="s">
        <v>3403</v>
      </c>
      <c r="D113" s="140">
        <f>CO2データ!I147</f>
        <v>6.0999999999999997E-4</v>
      </c>
      <c r="F113" s="140">
        <f>CO2データ!K147</f>
        <v>6.96E-4</v>
      </c>
    </row>
    <row r="114" spans="2:6" hidden="1">
      <c r="C114" s="1623" t="s">
        <v>3394</v>
      </c>
      <c r="D114" s="140">
        <f>CO2データ!I138</f>
        <v>3.48E-4</v>
      </c>
      <c r="F114" s="140">
        <f>CO2データ!K138</f>
        <v>4.6799999999999999E-4</v>
      </c>
    </row>
    <row r="115" spans="2:6" hidden="1">
      <c r="C115" s="1623" t="s">
        <v>3410</v>
      </c>
      <c r="D115" s="140">
        <f>CO2データ!I154</f>
        <v>5.53E-4</v>
      </c>
      <c r="F115" s="140">
        <f>CO2データ!K154</f>
        <v>5.3399999999999997E-4</v>
      </c>
    </row>
    <row r="116" spans="2:6" hidden="1">
      <c r="C116" s="1623" t="s">
        <v>3409</v>
      </c>
      <c r="D116" s="140">
        <f>CO2データ!I153</f>
        <v>3.2499999999999999E-4</v>
      </c>
      <c r="F116" s="140">
        <f>CO2データ!K153</f>
        <v>3.0600000000000001E-4</v>
      </c>
    </row>
    <row r="117" spans="2:6" hidden="1">
      <c r="C117" s="1623" t="s">
        <v>3378</v>
      </c>
      <c r="D117" s="140">
        <f>CO2データ!I122</f>
        <v>2.5900000000000001E-4</v>
      </c>
      <c r="F117" s="140">
        <f>CO2データ!K122</f>
        <v>3.4200000000000002E-4</v>
      </c>
    </row>
    <row r="118" spans="2:6" hidden="1">
      <c r="C118" s="1623" t="s">
        <v>3371</v>
      </c>
      <c r="D118" s="140">
        <f>CO2データ!I115</f>
        <v>4.0999999999999999E-4</v>
      </c>
      <c r="F118" s="140">
        <f>CO2データ!K115</f>
        <v>3.3700000000000001E-4</v>
      </c>
    </row>
    <row r="119" spans="2:6" hidden="1">
      <c r="C119" s="1623" t="s">
        <v>3372</v>
      </c>
      <c r="D119" s="140">
        <f>CO2データ!I116</f>
        <v>1.9000000000000001E-4</v>
      </c>
      <c r="F119" s="140">
        <f>CO2データ!K116</f>
        <v>1.83E-4</v>
      </c>
    </row>
    <row r="120" spans="2:6" hidden="1">
      <c r="C120" s="1623" t="s">
        <v>3373</v>
      </c>
      <c r="D120" s="140">
        <f>CO2データ!I117</f>
        <v>6.6200000000000005E-4</v>
      </c>
      <c r="F120" s="140">
        <f>CO2データ!K117</f>
        <v>4.6900000000000002E-4</v>
      </c>
    </row>
    <row r="121" spans="2:6" hidden="1">
      <c r="C121" s="1623" t="s">
        <v>3379</v>
      </c>
      <c r="D121" s="140">
        <f>CO2データ!I123</f>
        <v>6.3400000000000001E-4</v>
      </c>
      <c r="F121" s="140">
        <f>CO2データ!K123</f>
        <v>2.0599999999999999E-4</v>
      </c>
    </row>
    <row r="122" spans="2:6" hidden="1">
      <c r="C122" s="1623" t="s">
        <v>3382</v>
      </c>
      <c r="D122" s="140">
        <f>CO2データ!I126</f>
        <v>4.9799999999999996E-4</v>
      </c>
      <c r="F122" s="140">
        <f>CO2データ!K126</f>
        <v>3.9300000000000001E-4</v>
      </c>
    </row>
    <row r="123" spans="2:6" hidden="1">
      <c r="C123" s="1623" t="s">
        <v>3408</v>
      </c>
      <c r="D123" s="140">
        <f>CO2データ!I152</f>
        <v>4.1300000000000001E-4</v>
      </c>
      <c r="F123" s="140">
        <f>CO2データ!K152</f>
        <v>5.0299999999999997E-4</v>
      </c>
    </row>
    <row r="124" spans="2:6" hidden="1">
      <c r="C124" s="1623" t="s">
        <v>3412</v>
      </c>
      <c r="D124" s="140">
        <f>CO2データ!I156</f>
        <v>4.1599999999999997E-4</v>
      </c>
      <c r="F124" s="140">
        <f>CO2データ!K156</f>
        <v>5.6300000000000002E-4</v>
      </c>
    </row>
    <row r="125" spans="2:6" hidden="1">
      <c r="C125" s="1623" t="s">
        <v>3419</v>
      </c>
      <c r="D125" s="140">
        <f>CO2データ!I163</f>
        <v>3.39E-4</v>
      </c>
      <c r="F125" s="140">
        <f>CO2データ!K163</f>
        <v>3.2299999999999999E-4</v>
      </c>
    </row>
    <row r="126" spans="2:6" s="2445" customFormat="1" hidden="1">
      <c r="B126" s="140"/>
      <c r="C126" s="1623" t="s">
        <v>3422</v>
      </c>
      <c r="D126" s="140">
        <f>CO2データ!I166</f>
        <v>5.9900000000000003E-4</v>
      </c>
      <c r="E126" s="140"/>
      <c r="F126" s="140">
        <f>CO2データ!K166</f>
        <v>9.2500000000000004E-4</v>
      </c>
    </row>
    <row r="127" spans="2:6" s="2445" customFormat="1" hidden="1">
      <c r="B127" s="140"/>
      <c r="C127" s="1623" t="s">
        <v>3423</v>
      </c>
      <c r="D127" s="140">
        <f>CO2データ!I167</f>
        <v>4.8700000000000002E-4</v>
      </c>
      <c r="E127" s="140"/>
      <c r="F127" s="140">
        <f>CO2データ!K167</f>
        <v>3.2699999999999998E-4</v>
      </c>
    </row>
    <row r="128" spans="2:6" s="2445" customFormat="1" hidden="1">
      <c r="B128" s="140"/>
      <c r="C128" s="1623" t="s">
        <v>3425</v>
      </c>
      <c r="D128" s="140">
        <f>CO2データ!I169</f>
        <v>5.3899999999999998E-4</v>
      </c>
      <c r="E128" s="140"/>
      <c r="F128" s="140">
        <f>CO2データ!K169</f>
        <v>5.2099999999999998E-4</v>
      </c>
    </row>
    <row r="129" spans="2:6" s="2445" customFormat="1" hidden="1">
      <c r="B129" s="140"/>
      <c r="C129" s="1623" t="s">
        <v>3429</v>
      </c>
      <c r="D129" s="140">
        <f>CO2データ!I174</f>
        <v>6.2200000000000005E-4</v>
      </c>
      <c r="E129" s="140"/>
      <c r="F129" s="140">
        <f>CO2データ!K174</f>
        <v>6.11E-4</v>
      </c>
    </row>
    <row r="130" spans="2:6" s="2445" customFormat="1" hidden="1">
      <c r="B130" s="140"/>
      <c r="C130" s="1623" t="s">
        <v>3430</v>
      </c>
      <c r="D130" s="140">
        <f>CO2データ!I175</f>
        <v>1.1E-5</v>
      </c>
      <c r="E130" s="140"/>
      <c r="F130" s="140">
        <f>CO2データ!K175</f>
        <v>2.6499999999999999E-4</v>
      </c>
    </row>
    <row r="131" spans="2:6" s="2445" customFormat="1" hidden="1">
      <c r="B131" s="140"/>
      <c r="C131" s="1623" t="s">
        <v>3433</v>
      </c>
      <c r="D131" s="140">
        <f>CO2データ!I178</f>
        <v>3.1100000000000002E-4</v>
      </c>
      <c r="E131" s="140"/>
      <c r="F131" s="140">
        <f>CO2データ!K178</f>
        <v>3.01E-4</v>
      </c>
    </row>
    <row r="132" spans="2:6" s="2445" customFormat="1" hidden="1">
      <c r="B132" s="140"/>
      <c r="C132" s="1623" t="s">
        <v>3435</v>
      </c>
      <c r="D132" s="140">
        <f>CO2データ!I180</f>
        <v>4.66E-4</v>
      </c>
      <c r="E132" s="140"/>
      <c r="F132" s="140">
        <f>CO2データ!K180</f>
        <v>4.9799999999999996E-4</v>
      </c>
    </row>
    <row r="133" spans="2:6" s="2445" customFormat="1" hidden="1">
      <c r="B133" s="140"/>
      <c r="C133" s="1623" t="s">
        <v>3436</v>
      </c>
      <c r="D133" s="140">
        <f>CO2データ!I181</f>
        <v>5.8200000000000005E-4</v>
      </c>
      <c r="E133" s="140"/>
      <c r="F133" s="140">
        <f>CO2データ!K181</f>
        <v>0</v>
      </c>
    </row>
    <row r="134" spans="2:6" s="2445" customFormat="1" hidden="1">
      <c r="B134" s="140"/>
      <c r="C134" s="1623" t="s">
        <v>3437</v>
      </c>
      <c r="D134" s="140">
        <f>CO2データ!I182</f>
        <v>4.5399999999999998E-4</v>
      </c>
      <c r="E134" s="140"/>
      <c r="F134" s="140">
        <f>CO2データ!K182</f>
        <v>4.3899999999999999E-4</v>
      </c>
    </row>
    <row r="135" spans="2:6" s="2445" customFormat="1" hidden="1">
      <c r="B135" s="140"/>
      <c r="C135" s="1623" t="s">
        <v>3377</v>
      </c>
      <c r="D135" s="140">
        <f>CO2データ!I121</f>
        <v>5.6800000000000004E-4</v>
      </c>
      <c r="E135" s="140"/>
      <c r="F135" s="140">
        <f>CO2データ!K121</f>
        <v>2.9399999999999999E-4</v>
      </c>
    </row>
    <row r="136" spans="2:6" s="2445" customFormat="1" hidden="1">
      <c r="B136" s="140"/>
      <c r="C136" s="1623" t="s">
        <v>3380</v>
      </c>
      <c r="D136" s="140">
        <f>CO2データ!I124</f>
        <v>2.6600000000000001E-4</v>
      </c>
      <c r="E136" s="140"/>
      <c r="F136" s="140">
        <f>CO2データ!K124</f>
        <v>6.2399999999999999E-4</v>
      </c>
    </row>
    <row r="137" spans="2:6" s="2445" customFormat="1" hidden="1">
      <c r="B137" s="140"/>
      <c r="C137" s="1623" t="s">
        <v>3381</v>
      </c>
      <c r="D137" s="140">
        <f>CO2データ!I125</f>
        <v>4.3800000000000002E-4</v>
      </c>
      <c r="E137" s="140"/>
      <c r="F137" s="140">
        <f>CO2データ!K125</f>
        <v>4.1899999999999999E-4</v>
      </c>
    </row>
    <row r="138" spans="2:6" s="2445" customFormat="1" hidden="1">
      <c r="B138" s="140"/>
      <c r="C138" s="1623" t="s">
        <v>3370</v>
      </c>
      <c r="D138" s="140">
        <f>CO2データ!I114</f>
        <v>8.1599999999999999E-4</v>
      </c>
      <c r="E138" s="140"/>
      <c r="F138" s="140">
        <f>CO2データ!K114</f>
        <v>8.1599999999999999E-4</v>
      </c>
    </row>
    <row r="139" spans="2:6" s="2445" customFormat="1" hidden="1">
      <c r="B139" s="140"/>
      <c r="C139" s="1623" t="s">
        <v>3366</v>
      </c>
      <c r="D139" s="140">
        <f>CO2データ!I110</f>
        <v>5.31E-4</v>
      </c>
      <c r="E139" s="140"/>
      <c r="F139" s="140">
        <f>CO2データ!K110</f>
        <v>5.2300000000000003E-4</v>
      </c>
    </row>
    <row r="140" spans="2:6" s="2445" customFormat="1" hidden="1">
      <c r="B140" s="140"/>
      <c r="C140" s="1623" t="s">
        <v>3432</v>
      </c>
      <c r="D140" s="140">
        <f>CO2データ!I177</f>
        <v>4.8200000000000001E-4</v>
      </c>
      <c r="E140" s="140"/>
      <c r="F140" s="140">
        <f>CO2データ!K177</f>
        <v>4.8700000000000002E-4</v>
      </c>
    </row>
    <row r="141" spans="2:6" s="2445" customFormat="1" hidden="1">
      <c r="B141" s="140"/>
      <c r="C141" s="1623" t="s">
        <v>3407</v>
      </c>
      <c r="D141" s="140">
        <f>CO2データ!I151</f>
        <v>4.9399999999999997E-4</v>
      </c>
      <c r="E141" s="140"/>
      <c r="F141" s="140">
        <f>CO2データ!K151</f>
        <v>4.7800000000000002E-4</v>
      </c>
    </row>
    <row r="142" spans="2:6" s="2445" customFormat="1" hidden="1">
      <c r="B142" s="140"/>
      <c r="C142" s="1623" t="s">
        <v>3369</v>
      </c>
      <c r="D142" s="140">
        <f>CO2データ!I113</f>
        <v>5.8399999999999999E-4</v>
      </c>
      <c r="E142" s="140"/>
      <c r="F142" s="140">
        <f>CO2データ!K113</f>
        <v>5.9800000000000001E-4</v>
      </c>
    </row>
    <row r="143" spans="2:6" s="2445" customFormat="1" hidden="1">
      <c r="B143" s="140"/>
      <c r="C143" s="1623" t="s">
        <v>3434</v>
      </c>
      <c r="D143" s="140">
        <f>CO2データ!I179</f>
        <v>0</v>
      </c>
      <c r="E143" s="140"/>
      <c r="F143" s="140">
        <f>CO2データ!K179</f>
        <v>0</v>
      </c>
    </row>
    <row r="144" spans="2:6" s="2445" customFormat="1" hidden="1">
      <c r="B144" s="140"/>
      <c r="C144" s="1623" t="s">
        <v>3368</v>
      </c>
      <c r="D144" s="140">
        <f>CO2データ!I112</f>
        <v>6.7599999999999995E-4</v>
      </c>
      <c r="E144" s="140"/>
      <c r="F144" s="140">
        <f>CO2データ!K112</f>
        <v>6.8800000000000003E-4</v>
      </c>
    </row>
    <row r="145" spans="2:6" s="2445" customFormat="1" hidden="1">
      <c r="B145" s="140"/>
      <c r="C145" s="1623" t="s">
        <v>3411</v>
      </c>
      <c r="D145" s="140">
        <f>CO2データ!I155</f>
        <v>3.6000000000000001E-5</v>
      </c>
      <c r="E145" s="140"/>
      <c r="F145" s="140">
        <f>CO2データ!K155</f>
        <v>5.7600000000000001E-4</v>
      </c>
    </row>
    <row r="146" spans="2:6" s="2445" customFormat="1" hidden="1">
      <c r="B146" s="140"/>
      <c r="C146" s="1623" t="s">
        <v>3376</v>
      </c>
      <c r="D146" s="140">
        <f>CO2データ!I120</f>
        <v>2.5300000000000002E-4</v>
      </c>
      <c r="E146" s="140"/>
      <c r="F146" s="140">
        <f>CO2データ!K120</f>
        <v>7.3899999999999997E-4</v>
      </c>
    </row>
    <row r="147" spans="2:6" s="2445" customFormat="1" hidden="1">
      <c r="B147" s="140"/>
      <c r="C147" s="1623" t="s">
        <v>3413</v>
      </c>
      <c r="D147" s="140">
        <f>CO2データ!I157</f>
        <v>3.7199999999999999E-4</v>
      </c>
      <c r="E147" s="140"/>
      <c r="F147" s="140">
        <f>CO2データ!K157</f>
        <v>3.5300000000000002E-4</v>
      </c>
    </row>
    <row r="148" spans="2:6" s="2445" customFormat="1" hidden="1">
      <c r="B148" s="140"/>
      <c r="C148" s="1623" t="s">
        <v>3414</v>
      </c>
      <c r="D148" s="140">
        <f>CO2データ!I158</f>
        <v>5.5999999999999995E-4</v>
      </c>
      <c r="E148" s="140"/>
      <c r="F148" s="140">
        <f>CO2データ!K158</f>
        <v>5.6999999999999998E-4</v>
      </c>
    </row>
    <row r="149" spans="2:6" s="2445" customFormat="1" hidden="1">
      <c r="B149" s="140"/>
      <c r="C149" s="1623" t="s">
        <v>3416</v>
      </c>
      <c r="D149" s="140">
        <f>CO2データ!I160</f>
        <v>3.2899999999999997E-4</v>
      </c>
      <c r="E149" s="140"/>
      <c r="F149" s="140">
        <f>CO2データ!K160</f>
        <v>3.1E-4</v>
      </c>
    </row>
    <row r="150" spans="2:6" s="2445" customFormat="1" hidden="1">
      <c r="B150" s="140"/>
      <c r="C150" s="1623" t="s">
        <v>3417</v>
      </c>
      <c r="D150" s="140">
        <f>CO2データ!I161</f>
        <v>6.3599999999999996E-4</v>
      </c>
      <c r="E150" s="140"/>
      <c r="F150" s="140">
        <f>CO2データ!K161</f>
        <v>6.1499999999999999E-4</v>
      </c>
    </row>
    <row r="151" spans="2:6" s="2445" customFormat="1" hidden="1">
      <c r="B151" s="140"/>
      <c r="C151" s="1623" t="s">
        <v>3418</v>
      </c>
      <c r="D151" s="140">
        <f>CO2データ!I162</f>
        <v>5.6599999999999999E-4</v>
      </c>
      <c r="E151" s="140"/>
      <c r="F151" s="140">
        <f>CO2データ!K162</f>
        <v>5.4699999999999996E-4</v>
      </c>
    </row>
    <row r="152" spans="2:6" s="2445" customFormat="1" hidden="1">
      <c r="B152" s="140"/>
      <c r="C152" s="1623" t="s">
        <v>3420</v>
      </c>
      <c r="D152" s="140">
        <f>CO2データ!I164</f>
        <v>5.1900000000000004E-4</v>
      </c>
      <c r="E152" s="140"/>
      <c r="F152" s="140">
        <f>CO2データ!K164</f>
        <v>5.0100000000000003E-4</v>
      </c>
    </row>
    <row r="153" spans="2:6" s="2445" customFormat="1" hidden="1">
      <c r="B153" s="140"/>
      <c r="C153" s="1623" t="s">
        <v>3421</v>
      </c>
      <c r="D153" s="140">
        <f>CO2データ!I165</f>
        <v>5.5999999999999995E-4</v>
      </c>
      <c r="E153" s="140"/>
      <c r="F153" s="140">
        <f>CO2データ!K165</f>
        <v>5.4100000000000003E-4</v>
      </c>
    </row>
    <row r="154" spans="2:6" s="2445" customFormat="1" hidden="1">
      <c r="B154" s="140"/>
      <c r="C154" s="1623" t="s">
        <v>3367</v>
      </c>
      <c r="D154" s="140">
        <f>CO2データ!I111</f>
        <v>7.0600000000000003E-4</v>
      </c>
      <c r="E154" s="140"/>
      <c r="F154" s="140">
        <f>CO2データ!K111</f>
        <v>7.0899999999999999E-4</v>
      </c>
    </row>
    <row r="155" spans="2:6" s="2445" customFormat="1" hidden="1">
      <c r="B155" s="140"/>
      <c r="C155" s="1623" t="s">
        <v>3364</v>
      </c>
      <c r="D155" s="140">
        <f>CO2データ!I108</f>
        <v>4.9700000000000005E-4</v>
      </c>
      <c r="E155" s="140"/>
      <c r="F155" s="140">
        <f>CO2データ!K108</f>
        <v>4.9399999999999997E-4</v>
      </c>
    </row>
    <row r="156" spans="2:6" s="2445" customFormat="1" hidden="1">
      <c r="B156" s="140"/>
      <c r="C156" s="1623" t="s">
        <v>3424</v>
      </c>
      <c r="D156" s="140">
        <f>CO2データ!I168</f>
        <v>7.1000000000000005E-5</v>
      </c>
      <c r="E156" s="140"/>
      <c r="F156" s="140">
        <f>CO2データ!K168</f>
        <v>1.4899999999999999E-4</v>
      </c>
    </row>
    <row r="157" spans="2:6" s="2445" customFormat="1" hidden="1">
      <c r="B157" s="140"/>
      <c r="C157" s="1623" t="s">
        <v>3363</v>
      </c>
      <c r="D157" s="140">
        <f>CO2データ!I107</f>
        <v>5.0500000000000002E-4</v>
      </c>
      <c r="E157" s="140"/>
      <c r="F157" s="140">
        <f>CO2データ!K107</f>
        <v>4.9600000000000002E-4</v>
      </c>
    </row>
    <row r="158" spans="2:6" s="2445" customFormat="1" hidden="1">
      <c r="B158" s="140"/>
      <c r="C158" s="1623" t="s">
        <v>3362</v>
      </c>
      <c r="D158" s="140">
        <f>CO2データ!I106</f>
        <v>5.71E-4</v>
      </c>
      <c r="E158" s="140"/>
      <c r="F158" s="140">
        <f>CO2データ!K106</f>
        <v>5.7300000000000005E-4</v>
      </c>
    </row>
    <row r="159" spans="2:6" s="2445" customFormat="1" hidden="1">
      <c r="B159" s="140"/>
      <c r="C159" s="1623" t="s">
        <v>3426</v>
      </c>
      <c r="D159" s="140">
        <f>CO2データ!I170</f>
        <v>3.6499999999999998E-4</v>
      </c>
      <c r="E159" s="140"/>
      <c r="F159" s="140">
        <f>CO2データ!K170</f>
        <v>4.0999999999999999E-4</v>
      </c>
    </row>
    <row r="160" spans="2:6" s="2445" customFormat="1" hidden="1">
      <c r="B160" s="140"/>
      <c r="C160" s="1623" t="s">
        <v>3427</v>
      </c>
      <c r="D160" s="140">
        <f>CO2データ!I171</f>
        <v>0</v>
      </c>
      <c r="E160" s="140"/>
      <c r="F160" s="140">
        <f>CO2データ!K171</f>
        <v>1.4790000000000001E-3</v>
      </c>
    </row>
    <row r="161" spans="2:6" s="2445" customFormat="1" hidden="1">
      <c r="B161" s="140"/>
      <c r="C161" s="1623" t="s">
        <v>3428</v>
      </c>
      <c r="D161" s="140">
        <f>CO2データ!I172</f>
        <v>5.3200000000000003E-4</v>
      </c>
      <c r="E161" s="140"/>
      <c r="F161" s="140">
        <f>CO2データ!K172</f>
        <v>5.8799999999999998E-4</v>
      </c>
    </row>
    <row r="162" spans="2:6" s="2445" customFormat="1" hidden="1">
      <c r="B162" s="140"/>
      <c r="C162" s="1623" t="s">
        <v>1543</v>
      </c>
      <c r="D162" s="140">
        <f>CO2データ!I173</f>
        <v>3.86E-4</v>
      </c>
      <c r="E162" s="140"/>
      <c r="F162" s="140">
        <f>CO2データ!K173</f>
        <v>5.5199999999999997E-4</v>
      </c>
    </row>
    <row r="163" spans="2:6" s="2445" customFormat="1" hidden="1">
      <c r="B163" s="140"/>
      <c r="C163" s="1623" t="s">
        <v>3465</v>
      </c>
      <c r="D163" s="140">
        <f>CO2データ!I105</f>
        <v>6.8300000000000001E-4</v>
      </c>
      <c r="E163" s="140"/>
      <c r="F163" s="140">
        <f>CO2データ!K105</f>
        <v>6.8800000000000003E-4</v>
      </c>
    </row>
    <row r="164" spans="2:6" s="2445" customFormat="1" hidden="1">
      <c r="B164" s="140"/>
      <c r="C164" s="1623" t="s">
        <v>3365</v>
      </c>
      <c r="D164" s="140">
        <f>CO2データ!I109</f>
        <v>6.4700000000000001E-4</v>
      </c>
      <c r="E164" s="140"/>
      <c r="F164" s="140">
        <f>CO2データ!K109</f>
        <v>6.4000000000000005E-4</v>
      </c>
    </row>
    <row r="165" spans="2:6" hidden="1">
      <c r="C165" s="1623" t="s">
        <v>3431</v>
      </c>
      <c r="D165" s="140">
        <f>CO2データ!I176</f>
        <v>5.8E-4</v>
      </c>
      <c r="F165" s="140">
        <f>CO2データ!K176</f>
        <v>5.5999999999999995E-4</v>
      </c>
    </row>
    <row r="166" spans="2:6" hidden="1">
      <c r="C166" s="1623" t="s">
        <v>3415</v>
      </c>
      <c r="D166" s="140">
        <f>CO2データ!I159</f>
        <v>4.8799999999999999E-4</v>
      </c>
      <c r="F166" s="140">
        <f>CO2データ!K159</f>
        <v>3.48E-4</v>
      </c>
    </row>
  </sheetData>
  <sheetProtection algorithmName="SHA-512" hashValue="CwQ+0+PhLvmjP5eCNTOPD2TW1jqZ5m0MjPKvQJOzAhBSqZ2TaX1/MglWghoZyCK5t0XDxyew109Q/v0pCrj+Pw==" saltValue="GIgNxhmkrHCAmbDFVtKtVw==" spinCount="100000" sheet="1" objects="1" scenarios="1" selectLockedCells="1"/>
  <mergeCells count="1">
    <mergeCell ref="C13:E14"/>
  </mergeCells>
  <phoneticPr fontId="21"/>
  <conditionalFormatting sqref="C16">
    <cfRule type="expression" dxfId="193" priority="1" stopIfTrue="1">
      <formula>$Q$3=2</formula>
    </cfRule>
  </conditionalFormatting>
  <conditionalFormatting sqref="C10:D10">
    <cfRule type="expression" dxfId="192" priority="2" stopIfTrue="1">
      <formula>$Q$3=1</formula>
    </cfRule>
  </conditionalFormatting>
  <conditionalFormatting sqref="C20:D20">
    <cfRule type="expression" dxfId="191" priority="3" stopIfTrue="1">
      <formula>$Q$3=3</formula>
    </cfRule>
  </conditionalFormatting>
  <conditionalFormatting sqref="C28:D83">
    <cfRule type="expression" dxfId="190" priority="4" stopIfTrue="1">
      <formula>$Q$3=5</formula>
    </cfRule>
  </conditionalFormatting>
  <dataValidations count="1">
    <dataValidation type="list" allowBlank="1" showInputMessage="1" showErrorMessage="1" sqref="C16" xr:uid="{00000000-0002-0000-0500-000000000000}">
      <formula1>$I$5:$I$82</formula1>
    </dataValidation>
  </dataValidations>
  <pageMargins left="0.75" right="0.75" top="1" bottom="1" header="0.51200000000000001" footer="0.51200000000000001"/>
  <pageSetup paperSize="9" scale="64"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104775</xdr:colOff>
                    <xdr:row>9</xdr:row>
                    <xdr:rowOff>28575</xdr:rowOff>
                  </from>
                  <to>
                    <xdr:col>1</xdr:col>
                    <xdr:colOff>266700</xdr:colOff>
                    <xdr:row>9</xdr:row>
                    <xdr:rowOff>133350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104775</xdr:colOff>
                    <xdr:row>14</xdr:row>
                    <xdr:rowOff>161925</xdr:rowOff>
                  </from>
                  <to>
                    <xdr:col>1</xdr:col>
                    <xdr:colOff>266700</xdr:colOff>
                    <xdr:row>15</xdr:row>
                    <xdr:rowOff>142875</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104775</xdr:colOff>
                    <xdr:row>18</xdr:row>
                    <xdr:rowOff>133350</xdr:rowOff>
                  </from>
                  <to>
                    <xdr:col>1</xdr:col>
                    <xdr:colOff>266700</xdr:colOff>
                    <xdr:row>20</xdr:row>
                    <xdr:rowOff>28575</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104775</xdr:colOff>
                    <xdr:row>23</xdr:row>
                    <xdr:rowOff>19050</xdr:rowOff>
                  </from>
                  <to>
                    <xdr:col>1</xdr:col>
                    <xdr:colOff>266700</xdr:colOff>
                    <xdr:row>23</xdr:row>
                    <xdr:rowOff>142875</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104775</xdr:colOff>
                    <xdr:row>27</xdr:row>
                    <xdr:rowOff>9525</xdr:rowOff>
                  </from>
                  <to>
                    <xdr:col>1</xdr:col>
                    <xdr:colOff>266700</xdr:colOff>
                    <xdr:row>27</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AA450"/>
  <sheetViews>
    <sheetView showGridLines="0" topLeftCell="A238" zoomScaleNormal="100" zoomScaleSheetLayoutView="100" workbookViewId="0">
      <selection activeCell="F267" sqref="F267"/>
    </sheetView>
  </sheetViews>
  <sheetFormatPr defaultColWidth="0" defaultRowHeight="13.5" zeroHeight="1"/>
  <cols>
    <col min="1" max="1" width="1.375" customWidth="1"/>
    <col min="2" max="2" width="8.875" hidden="1" customWidth="1"/>
    <col min="3" max="3" width="6" hidden="1" customWidth="1"/>
    <col min="4" max="4" width="5" style="2307" customWidth="1"/>
    <col min="5" max="5" width="1.375" style="140" customWidth="1"/>
    <col min="6" max="15" width="12.5" style="140" customWidth="1"/>
    <col min="16" max="16" width="2.5" customWidth="1"/>
    <col min="17" max="17" width="9.75" hidden="1" customWidth="1"/>
    <col min="18" max="18" width="20.75" hidden="1" customWidth="1"/>
    <col min="19" max="19" width="6.375" hidden="1" customWidth="1"/>
    <col min="20" max="20" width="9.125" hidden="1" customWidth="1"/>
    <col min="21" max="21" width="13.625" hidden="1" customWidth="1"/>
    <col min="22" max="22" width="9.75" hidden="1" customWidth="1"/>
    <col min="23" max="23" width="13.75" hidden="1" customWidth="1"/>
    <col min="24" max="26" width="9" hidden="1" customWidth="1"/>
    <col min="27" max="27" width="10.125" hidden="1" customWidth="1"/>
    <col min="28" max="16384" width="9" hidden="1"/>
  </cols>
  <sheetData>
    <row r="1" spans="2:21" ht="15.75">
      <c r="D1" s="885"/>
      <c r="E1" s="886"/>
      <c r="F1" s="886"/>
      <c r="G1" s="886"/>
      <c r="H1" s="886"/>
      <c r="I1" s="886"/>
      <c r="J1" s="886"/>
      <c r="K1" s="886"/>
      <c r="L1" s="886"/>
      <c r="M1" s="887" t="s">
        <v>2215</v>
      </c>
      <c r="N1" s="3671" t="str">
        <f>メイン!C11</f>
        <v>○○ビル</v>
      </c>
      <c r="O1" s="3671"/>
      <c r="R1" t="s">
        <v>1100</v>
      </c>
    </row>
    <row r="2" spans="2:21" ht="8.25" customHeight="1" thickBot="1">
      <c r="D2" s="888"/>
      <c r="E2" s="889"/>
      <c r="F2" s="889"/>
      <c r="G2" s="889"/>
      <c r="H2" s="889"/>
      <c r="I2" s="889"/>
      <c r="J2" s="889"/>
      <c r="K2" s="889"/>
      <c r="L2" s="889"/>
      <c r="M2" s="889"/>
      <c r="N2" s="889"/>
      <c r="O2" s="889"/>
    </row>
    <row r="3" spans="2:21" ht="18.75" thickBot="1">
      <c r="D3" s="1372" t="s">
        <v>1606</v>
      </c>
      <c r="E3" s="890"/>
      <c r="F3" s="889"/>
      <c r="G3" s="889"/>
      <c r="H3" s="889"/>
      <c r="I3" s="891"/>
      <c r="J3" s="892" t="s">
        <v>2543</v>
      </c>
      <c r="K3" s="893"/>
      <c r="L3" s="893"/>
      <c r="M3" s="889"/>
      <c r="N3" s="889"/>
      <c r="O3" s="894" t="str">
        <f>IF(メイン!E39=0,"",メイン!E39)</f>
        <v>実施設計段階</v>
      </c>
      <c r="R3" t="s">
        <v>1118</v>
      </c>
      <c r="T3" t="s">
        <v>3787</v>
      </c>
      <c r="U3" t="str">
        <f>メイン!I37</f>
        <v>基本設計段階</v>
      </c>
    </row>
    <row r="4" spans="2:21" ht="10.5" customHeight="1">
      <c r="D4" s="888"/>
      <c r="E4" s="890"/>
      <c r="F4" s="889"/>
      <c r="G4" s="889"/>
      <c r="H4" s="889"/>
      <c r="I4" s="889"/>
      <c r="J4" s="889"/>
      <c r="K4" s="889"/>
      <c r="L4" s="889"/>
      <c r="M4" s="889"/>
      <c r="N4" s="889"/>
      <c r="O4" s="889"/>
      <c r="S4" t="s">
        <v>1607</v>
      </c>
      <c r="T4" t="s">
        <v>1608</v>
      </c>
      <c r="U4" t="str">
        <f>メイン!I38</f>
        <v>実施設計段階</v>
      </c>
    </row>
    <row r="5" spans="2:21" ht="15.75">
      <c r="D5" s="1311">
        <v>1</v>
      </c>
      <c r="E5" s="895" t="s">
        <v>1119</v>
      </c>
      <c r="F5" s="895"/>
      <c r="G5" s="895"/>
      <c r="H5" s="896"/>
      <c r="I5" s="896"/>
      <c r="J5" s="896"/>
      <c r="K5" s="896"/>
      <c r="L5" s="896"/>
      <c r="M5" s="896"/>
      <c r="N5" s="896"/>
      <c r="O5" s="896"/>
      <c r="U5" t="str">
        <f>メイン!I39</f>
        <v>竣工段階</v>
      </c>
    </row>
    <row r="6" spans="2:21" ht="15.75">
      <c r="D6" s="1311">
        <v>1.1000000000000001</v>
      </c>
      <c r="E6" s="897" t="s">
        <v>3356</v>
      </c>
      <c r="F6" s="895"/>
      <c r="G6" s="895"/>
      <c r="H6" s="896"/>
      <c r="I6" s="896"/>
      <c r="J6" s="896" t="str">
        <f>IF(OR(F8=0,AND(J7=0,O7=0)),$R$3,"")</f>
        <v/>
      </c>
      <c r="K6" s="896"/>
      <c r="L6" s="896"/>
      <c r="M6" s="896"/>
      <c r="N6" s="896"/>
      <c r="O6" s="902" t="s">
        <v>1609</v>
      </c>
      <c r="U6">
        <f>メイン!Q42</f>
        <v>0</v>
      </c>
    </row>
    <row r="7" spans="2:21" ht="14.25" thickBot="1">
      <c r="E7" s="893"/>
      <c r="F7" s="903" t="s">
        <v>1610</v>
      </c>
      <c r="G7" s="904"/>
      <c r="H7" s="905"/>
      <c r="I7" s="906" t="s">
        <v>1121</v>
      </c>
      <c r="J7" s="907">
        <f>重み!M11</f>
        <v>0.40157480314960631</v>
      </c>
      <c r="K7" s="908"/>
      <c r="L7" s="903" t="s">
        <v>1611</v>
      </c>
      <c r="M7" s="904"/>
      <c r="N7" s="906" t="s">
        <v>1121</v>
      </c>
      <c r="O7" s="909">
        <f>重み!N11</f>
        <v>7.874015748031496E-3</v>
      </c>
    </row>
    <row r="8" spans="2:21" ht="23.25" thickBot="1">
      <c r="E8" s="893"/>
      <c r="F8" s="910">
        <v>3</v>
      </c>
      <c r="G8" s="911" t="s">
        <v>3788</v>
      </c>
      <c r="H8" s="912" t="s">
        <v>3789</v>
      </c>
      <c r="I8" s="913" t="s">
        <v>1612</v>
      </c>
      <c r="J8" s="912" t="s">
        <v>3790</v>
      </c>
      <c r="K8" s="911" t="s">
        <v>1122</v>
      </c>
      <c r="L8" s="910">
        <v>3</v>
      </c>
      <c r="M8" s="914" t="s">
        <v>1123</v>
      </c>
      <c r="N8" s="915"/>
      <c r="O8" s="916"/>
    </row>
    <row r="9" spans="2:21" ht="27" customHeight="1">
      <c r="B9" s="1">
        <v>1</v>
      </c>
      <c r="C9" s="1">
        <v>1</v>
      </c>
      <c r="E9" s="893"/>
      <c r="F9" s="917" t="str">
        <f>IF(F8=$S$14,$T$9,IF(ROUNDDOWN(F8,0)=$S$9,$U$9,$T$9))</f>
        <v>　レベル　1</v>
      </c>
      <c r="G9" s="918" t="s">
        <v>1124</v>
      </c>
      <c r="H9" s="918" t="s">
        <v>1125</v>
      </c>
      <c r="I9" s="918" t="s">
        <v>1126</v>
      </c>
      <c r="J9" s="918" t="s">
        <v>1127</v>
      </c>
      <c r="K9" s="918" t="s">
        <v>1783</v>
      </c>
      <c r="L9" s="917" t="str">
        <f>IF(L8=$S$14,$T$9,IF(ROUNDDOWN(L8,0)=$S$9,$U$9,$T$9))</f>
        <v>　レベル　1</v>
      </c>
      <c r="M9" s="919" t="s">
        <v>1784</v>
      </c>
      <c r="N9" s="920"/>
      <c r="O9" s="921"/>
      <c r="S9">
        <v>1</v>
      </c>
      <c r="T9" t="s">
        <v>1785</v>
      </c>
      <c r="U9" t="s">
        <v>1786</v>
      </c>
    </row>
    <row r="10" spans="2:21" ht="22.5">
      <c r="B10" s="1">
        <v>2</v>
      </c>
      <c r="C10" s="1" t="s">
        <v>1787</v>
      </c>
      <c r="E10" s="893"/>
      <c r="F10" s="922" t="str">
        <f>IF(F8=$S$14,$T$10,IF(ROUNDDOWN(F8,0)=$S$10,$U$10,$T$10))</f>
        <v>　レベル　2</v>
      </c>
      <c r="G10" s="923" t="s">
        <v>1788</v>
      </c>
      <c r="H10" s="923" t="s">
        <v>1788</v>
      </c>
      <c r="I10" s="924" t="s">
        <v>1788</v>
      </c>
      <c r="J10" s="924" t="s">
        <v>1788</v>
      </c>
      <c r="K10" s="925" t="s">
        <v>1789</v>
      </c>
      <c r="L10" s="922" t="str">
        <f>IF(L8=$S$14,$T$10,IF(ROUNDDOWN(L8,0)=$S$10,$U$10,$T$10))</f>
        <v>　レベル　2</v>
      </c>
      <c r="M10" s="926" t="s">
        <v>1788</v>
      </c>
      <c r="N10" s="927"/>
      <c r="O10" s="928"/>
      <c r="S10">
        <v>2</v>
      </c>
      <c r="T10" t="s">
        <v>1101</v>
      </c>
      <c r="U10" t="s">
        <v>1102</v>
      </c>
    </row>
    <row r="11" spans="2:21" ht="22.5">
      <c r="B11" s="1">
        <v>3</v>
      </c>
      <c r="C11" s="1">
        <v>3</v>
      </c>
      <c r="E11" s="893"/>
      <c r="F11" s="922" t="str">
        <f>IF(F8=$S$14,$T$11,IF(ROUNDDOWN(F8,0)=$S$11,$U$11,$T$11))</f>
        <v>■レベル　3</v>
      </c>
      <c r="G11" s="925" t="s">
        <v>1103</v>
      </c>
      <c r="H11" s="925" t="s">
        <v>1104</v>
      </c>
      <c r="I11" s="925" t="s">
        <v>1105</v>
      </c>
      <c r="J11" s="929" t="s">
        <v>1106</v>
      </c>
      <c r="K11" s="925" t="s">
        <v>1103</v>
      </c>
      <c r="L11" s="922" t="str">
        <f>IF(L8=$S$14,$T$11,IF(ROUNDDOWN(L8,0)=$S$11,$U$11,$T$11))</f>
        <v>■レベル　3</v>
      </c>
      <c r="M11" s="926" t="s">
        <v>1104</v>
      </c>
      <c r="N11" s="927"/>
      <c r="O11" s="928"/>
      <c r="S11">
        <v>3</v>
      </c>
      <c r="T11" t="s">
        <v>1107</v>
      </c>
      <c r="U11" t="s">
        <v>1108</v>
      </c>
    </row>
    <row r="12" spans="2:21" ht="22.5">
      <c r="B12" s="1">
        <v>4</v>
      </c>
      <c r="C12" s="1">
        <v>4</v>
      </c>
      <c r="E12" s="893"/>
      <c r="F12" s="922" t="str">
        <f>IF(F8=$S$14,$T$12,IF(ROUNDDOWN(F8,0)=$S$12,$U$12,$T$12))</f>
        <v>　レベル　4</v>
      </c>
      <c r="G12" s="930" t="s">
        <v>1104</v>
      </c>
      <c r="H12" s="931" t="s">
        <v>1106</v>
      </c>
      <c r="I12" s="932" t="s">
        <v>1103</v>
      </c>
      <c r="J12" s="932" t="s">
        <v>1109</v>
      </c>
      <c r="K12" s="930" t="s">
        <v>1110</v>
      </c>
      <c r="L12" s="922" t="str">
        <f>IF(L8=$S$14,$T$12,IF(ROUNDDOWN(L8,0)=$S$12,$U$12,$T$12))</f>
        <v>　レベル　4</v>
      </c>
      <c r="M12" s="926" t="s">
        <v>993</v>
      </c>
      <c r="N12" s="927"/>
      <c r="O12" s="928"/>
      <c r="S12">
        <v>4</v>
      </c>
      <c r="T12" t="s">
        <v>994</v>
      </c>
      <c r="U12" t="s">
        <v>995</v>
      </c>
    </row>
    <row r="13" spans="2:21" ht="25.5" customHeight="1">
      <c r="B13" s="1">
        <v>5</v>
      </c>
      <c r="C13" s="1">
        <v>5</v>
      </c>
      <c r="E13" s="893"/>
      <c r="F13" s="933" t="str">
        <f>IF(F8=$S$14,$T$13,IF(ROUNDDOWN(F8,0)=$S$13,$U$13,$T$13))</f>
        <v>　レベル　5</v>
      </c>
      <c r="G13" s="934" t="s">
        <v>996</v>
      </c>
      <c r="H13" s="935" t="s">
        <v>997</v>
      </c>
      <c r="I13" s="936" t="s">
        <v>998</v>
      </c>
      <c r="J13" s="936" t="s">
        <v>999</v>
      </c>
      <c r="K13" s="934" t="s">
        <v>1000</v>
      </c>
      <c r="L13" s="933" t="str">
        <f>IF(L8=$S$14,$T$13,IF(ROUNDDOWN(L8,0)=$S$13,$U$13,$T$13))</f>
        <v>　レベル　5</v>
      </c>
      <c r="M13" s="937" t="s">
        <v>1000</v>
      </c>
      <c r="N13" s="938"/>
      <c r="O13" s="939"/>
      <c r="S13">
        <v>5</v>
      </c>
      <c r="T13" t="s">
        <v>1001</v>
      </c>
      <c r="U13" t="s">
        <v>1002</v>
      </c>
    </row>
    <row r="14" spans="2:21">
      <c r="B14" s="940">
        <v>0</v>
      </c>
      <c r="C14" s="940">
        <v>0</v>
      </c>
      <c r="E14" s="893"/>
      <c r="F14" s="941" t="s">
        <v>1003</v>
      </c>
      <c r="G14" s="942"/>
      <c r="H14" s="942"/>
      <c r="I14" s="942"/>
      <c r="J14" s="942"/>
      <c r="K14" s="942"/>
      <c r="L14" s="942"/>
      <c r="M14" s="942"/>
      <c r="N14" s="942"/>
      <c r="O14" s="942"/>
      <c r="S14">
        <v>0</v>
      </c>
      <c r="T14" t="s">
        <v>1416</v>
      </c>
      <c r="U14" t="s">
        <v>1416</v>
      </c>
    </row>
    <row r="15" spans="2:21">
      <c r="E15" s="893"/>
      <c r="F15" s="943" t="s">
        <v>3791</v>
      </c>
      <c r="G15" s="944" t="s">
        <v>1417</v>
      </c>
      <c r="H15" s="944" t="s">
        <v>1418</v>
      </c>
      <c r="I15" s="944" t="s">
        <v>1419</v>
      </c>
      <c r="J15" s="944" t="s">
        <v>1420</v>
      </c>
      <c r="K15" s="944" t="s">
        <v>1421</v>
      </c>
      <c r="L15" s="944" t="s">
        <v>1422</v>
      </c>
      <c r="M15" s="944" t="s">
        <v>1423</v>
      </c>
      <c r="N15" s="944" t="s">
        <v>1424</v>
      </c>
      <c r="O15" s="944" t="s">
        <v>1425</v>
      </c>
    </row>
    <row r="16" spans="2:21">
      <c r="E16" s="893"/>
      <c r="F16" s="943" t="s">
        <v>1426</v>
      </c>
      <c r="G16" s="945" t="s">
        <v>1427</v>
      </c>
      <c r="H16" s="945" t="s">
        <v>1428</v>
      </c>
      <c r="I16" s="945" t="s">
        <v>1429</v>
      </c>
      <c r="J16" s="945" t="s">
        <v>886</v>
      </c>
      <c r="K16" s="945" t="s">
        <v>887</v>
      </c>
      <c r="L16" s="945" t="s">
        <v>888</v>
      </c>
      <c r="M16" s="945" t="s">
        <v>889</v>
      </c>
      <c r="N16" s="945" t="s">
        <v>890</v>
      </c>
      <c r="O16" s="945" t="s">
        <v>891</v>
      </c>
    </row>
    <row r="17" spans="5:15">
      <c r="E17" s="893"/>
      <c r="F17" s="946" t="s">
        <v>892</v>
      </c>
      <c r="G17" s="947" t="s">
        <v>1004</v>
      </c>
      <c r="H17" s="948" t="s">
        <v>1005</v>
      </c>
      <c r="I17" s="948"/>
      <c r="J17" s="948"/>
      <c r="K17" s="948" t="s">
        <v>1006</v>
      </c>
      <c r="L17" s="948"/>
      <c r="M17" s="949" t="s">
        <v>1007</v>
      </c>
      <c r="N17" s="948"/>
      <c r="O17" s="3009" t="s">
        <v>1008</v>
      </c>
    </row>
    <row r="18" spans="5:15">
      <c r="E18" s="893"/>
      <c r="F18" s="3672" t="s">
        <v>1009</v>
      </c>
      <c r="G18" s="950"/>
      <c r="H18" s="951"/>
      <c r="I18" s="952" t="s">
        <v>1010</v>
      </c>
      <c r="J18" s="952"/>
      <c r="K18" s="953" t="s">
        <v>1011</v>
      </c>
      <c r="L18" s="951"/>
      <c r="M18" s="953" t="s">
        <v>1012</v>
      </c>
      <c r="N18" s="951"/>
      <c r="O18" s="954" t="s">
        <v>1013</v>
      </c>
    </row>
    <row r="19" spans="5:15">
      <c r="E19" s="893"/>
      <c r="F19" s="3673"/>
      <c r="G19" s="955"/>
      <c r="H19" s="956"/>
      <c r="I19" s="957" t="s">
        <v>893</v>
      </c>
      <c r="J19" s="956"/>
      <c r="K19" s="958" t="s">
        <v>894</v>
      </c>
      <c r="L19" s="959" t="s">
        <v>895</v>
      </c>
      <c r="M19" s="958" t="s">
        <v>896</v>
      </c>
      <c r="N19" s="959" t="s">
        <v>895</v>
      </c>
      <c r="O19" s="960" t="s">
        <v>897</v>
      </c>
    </row>
    <row r="20" spans="5:15">
      <c r="E20" s="893"/>
      <c r="F20" s="961" t="s">
        <v>898</v>
      </c>
      <c r="G20" s="951" t="s">
        <v>158</v>
      </c>
      <c r="H20" s="951" t="s">
        <v>899</v>
      </c>
      <c r="I20" s="951" t="s">
        <v>900</v>
      </c>
      <c r="J20" s="951" t="s">
        <v>901</v>
      </c>
      <c r="K20" s="951" t="s">
        <v>159</v>
      </c>
      <c r="L20" s="951" t="s">
        <v>160</v>
      </c>
      <c r="M20" s="951"/>
      <c r="N20" s="951"/>
      <c r="O20" s="962"/>
    </row>
    <row r="21" spans="5:15">
      <c r="E21" s="893"/>
      <c r="F21" s="963" t="s">
        <v>161</v>
      </c>
      <c r="G21" s="964"/>
      <c r="H21" s="964" t="s">
        <v>162</v>
      </c>
      <c r="I21" s="964" t="s">
        <v>163</v>
      </c>
      <c r="J21" s="964" t="s">
        <v>164</v>
      </c>
      <c r="K21" s="965" t="s">
        <v>165</v>
      </c>
      <c r="L21" s="966"/>
      <c r="M21" s="964" t="s">
        <v>902</v>
      </c>
      <c r="N21" s="964"/>
      <c r="O21" s="967"/>
    </row>
    <row r="22" spans="5:15">
      <c r="E22" s="893"/>
      <c r="F22" s="963" t="s">
        <v>1618</v>
      </c>
      <c r="G22" s="964"/>
      <c r="H22" s="964" t="s">
        <v>166</v>
      </c>
      <c r="I22" s="964" t="s">
        <v>167</v>
      </c>
      <c r="J22" s="964" t="s">
        <v>847</v>
      </c>
      <c r="K22" s="964" t="s">
        <v>1541</v>
      </c>
      <c r="L22" s="964" t="s">
        <v>1542</v>
      </c>
      <c r="M22" s="964" t="s">
        <v>981</v>
      </c>
      <c r="N22" s="964"/>
      <c r="O22" s="967"/>
    </row>
    <row r="23" spans="5:15">
      <c r="E23" s="893"/>
      <c r="F23" s="963" t="s">
        <v>982</v>
      </c>
      <c r="G23" s="964"/>
      <c r="H23" s="964"/>
      <c r="I23" s="964"/>
      <c r="J23" s="964" t="s">
        <v>983</v>
      </c>
      <c r="K23" s="964" t="s">
        <v>984</v>
      </c>
      <c r="L23" s="964" t="s">
        <v>1775</v>
      </c>
      <c r="M23" s="964" t="s">
        <v>903</v>
      </c>
      <c r="N23" s="964"/>
      <c r="O23" s="967"/>
    </row>
    <row r="24" spans="5:15">
      <c r="E24" s="893"/>
      <c r="F24" s="963" t="s">
        <v>160</v>
      </c>
      <c r="G24" s="964"/>
      <c r="H24" s="964"/>
      <c r="I24" s="964"/>
      <c r="J24" s="965" t="s">
        <v>1776</v>
      </c>
      <c r="K24" s="964" t="s">
        <v>1777</v>
      </c>
      <c r="L24" s="964" t="s">
        <v>1797</v>
      </c>
      <c r="M24" s="966" t="s">
        <v>160</v>
      </c>
      <c r="N24" s="966"/>
      <c r="O24" s="967" t="s">
        <v>1798</v>
      </c>
    </row>
    <row r="25" spans="5:15">
      <c r="E25" s="893"/>
      <c r="F25" s="963" t="s">
        <v>1799</v>
      </c>
      <c r="G25" s="964"/>
      <c r="H25" s="964"/>
      <c r="I25" s="964"/>
      <c r="J25" s="964" t="s">
        <v>1800</v>
      </c>
      <c r="K25" s="964" t="s">
        <v>1801</v>
      </c>
      <c r="L25" s="964" t="s">
        <v>1802</v>
      </c>
      <c r="M25" s="964" t="s">
        <v>1803</v>
      </c>
      <c r="N25" s="965" t="s">
        <v>1804</v>
      </c>
      <c r="O25" s="968"/>
    </row>
    <row r="26" spans="5:15">
      <c r="E26" s="893"/>
      <c r="F26" s="963" t="s">
        <v>1805</v>
      </c>
      <c r="G26" s="964"/>
      <c r="H26" s="964"/>
      <c r="I26" s="964"/>
      <c r="J26" s="964" t="s">
        <v>1806</v>
      </c>
      <c r="K26" s="964" t="s">
        <v>653</v>
      </c>
      <c r="L26" s="964" t="s">
        <v>654</v>
      </c>
      <c r="M26" s="964"/>
      <c r="N26" s="964" t="s">
        <v>655</v>
      </c>
      <c r="O26" s="967"/>
    </row>
    <row r="27" spans="5:15">
      <c r="E27" s="893"/>
      <c r="F27" s="3674" t="s">
        <v>1793</v>
      </c>
      <c r="G27" s="964"/>
      <c r="H27" s="964"/>
      <c r="I27" s="964"/>
      <c r="J27" s="964"/>
      <c r="K27" s="969" t="s">
        <v>1794</v>
      </c>
      <c r="L27" s="964" t="s">
        <v>1795</v>
      </c>
      <c r="M27" s="966" t="s">
        <v>1796</v>
      </c>
      <c r="N27" s="966"/>
      <c r="O27" s="967"/>
    </row>
    <row r="28" spans="5:15">
      <c r="E28" s="893"/>
      <c r="F28" s="3675"/>
      <c r="G28" s="970"/>
      <c r="H28" s="970"/>
      <c r="I28" s="970"/>
      <c r="J28" s="970"/>
      <c r="K28" s="971" t="s">
        <v>904</v>
      </c>
      <c r="L28" s="971"/>
      <c r="M28" s="970" t="s">
        <v>905</v>
      </c>
      <c r="N28" s="970" t="s">
        <v>2036</v>
      </c>
      <c r="O28" s="972"/>
    </row>
    <row r="29" spans="5:15">
      <c r="E29" s="893"/>
      <c r="F29" s="889"/>
      <c r="G29" s="973"/>
      <c r="H29" s="973"/>
      <c r="I29" s="973"/>
      <c r="J29" s="973"/>
      <c r="K29" s="973"/>
      <c r="L29" s="973"/>
      <c r="M29" s="973"/>
      <c r="N29" s="973"/>
      <c r="O29" s="974" t="s">
        <v>2544</v>
      </c>
    </row>
    <row r="30" spans="5:15" ht="16.5" hidden="1" customHeight="1">
      <c r="E30" s="893"/>
      <c r="F30" s="889"/>
      <c r="G30" s="975"/>
      <c r="H30" s="975"/>
      <c r="I30" s="975"/>
      <c r="J30" s="975"/>
      <c r="K30" s="975"/>
      <c r="L30" s="975"/>
      <c r="M30" s="975"/>
      <c r="N30" s="975"/>
      <c r="O30" s="975"/>
    </row>
    <row r="31" spans="5:15" ht="14.25" hidden="1">
      <c r="E31" s="893"/>
      <c r="F31" s="2263" t="s">
        <v>2037</v>
      </c>
      <c r="G31" s="976"/>
      <c r="H31" s="977"/>
      <c r="I31" s="978"/>
      <c r="J31" s="979" t="str">
        <f>IF(OR(F33=0,AND(J32=0,O32=0)),$R$3,"")</f>
        <v>&lt;評価しない&gt;</v>
      </c>
      <c r="K31" s="978"/>
      <c r="L31" s="976"/>
      <c r="M31" s="977"/>
      <c r="N31" s="978"/>
      <c r="O31" s="979"/>
    </row>
    <row r="32" spans="5:15" ht="14.25" hidden="1" thickBot="1">
      <c r="E32" s="893"/>
      <c r="F32" s="903" t="s">
        <v>906</v>
      </c>
      <c r="G32" s="904"/>
      <c r="H32" s="905"/>
      <c r="I32" s="906" t="s">
        <v>1121</v>
      </c>
      <c r="J32" s="909">
        <f>重み!M13</f>
        <v>0</v>
      </c>
      <c r="K32" s="903" t="s">
        <v>1611</v>
      </c>
      <c r="L32" s="904"/>
      <c r="M32" s="905"/>
      <c r="N32" s="906" t="s">
        <v>1121</v>
      </c>
      <c r="O32" s="909">
        <f>重み!N13</f>
        <v>0</v>
      </c>
    </row>
    <row r="33" spans="2:15" ht="14.25" hidden="1" thickBot="1">
      <c r="E33" s="893"/>
      <c r="F33" s="980">
        <f>IF(J32=0,0,F44)</f>
        <v>0</v>
      </c>
      <c r="G33" s="915" t="s">
        <v>907</v>
      </c>
      <c r="H33" s="915"/>
      <c r="I33" s="3685" t="s">
        <v>908</v>
      </c>
      <c r="J33" s="3686"/>
      <c r="K33" s="980">
        <f>IF(O32=0,0,IF(O44+K56=0,0,ROUND(G44*O44/(O44+K56)+G56*K56/(O44+K56),0)))</f>
        <v>0</v>
      </c>
      <c r="L33" s="981" t="s">
        <v>909</v>
      </c>
      <c r="M33" s="982" t="s">
        <v>910</v>
      </c>
      <c r="N33" s="3676" t="s">
        <v>2039</v>
      </c>
      <c r="O33" s="3677"/>
    </row>
    <row r="34" spans="2:15" ht="56.25" hidden="1" customHeight="1">
      <c r="E34" s="893"/>
      <c r="F34" s="922" t="str">
        <f>IF(F33=$S$14,$T$9,IF(ROUNDDOWN(F33,0)=$S$9,$U$9,$T$9))</f>
        <v>　レベル　1</v>
      </c>
      <c r="G34" s="3678" t="s">
        <v>2040</v>
      </c>
      <c r="H34" s="3679"/>
      <c r="I34" s="3678" t="s">
        <v>2040</v>
      </c>
      <c r="J34" s="3679"/>
      <c r="K34" s="922" t="str">
        <f>IF(K33=$S$14,$T$9,IF(ROUNDDOWN(K33,0)=$S$9,$U$9,$T$9))</f>
        <v>　レベル　1</v>
      </c>
      <c r="L34" s="983" t="s">
        <v>2040</v>
      </c>
      <c r="M34" s="983" t="s">
        <v>2040</v>
      </c>
      <c r="N34" s="3678" t="s">
        <v>2040</v>
      </c>
      <c r="O34" s="3684"/>
    </row>
    <row r="35" spans="2:15" ht="45" hidden="1" customHeight="1">
      <c r="E35" s="893"/>
      <c r="F35" s="922" t="str">
        <f>IF(F33=$S$14,$T$10,IF(ROUNDDOWN(F33,0)=$S$10,$U$10,$T$10))</f>
        <v>　レベル　2</v>
      </c>
      <c r="G35" s="3682" t="s">
        <v>1368</v>
      </c>
      <c r="H35" s="3688"/>
      <c r="I35" s="3682" t="s">
        <v>911</v>
      </c>
      <c r="J35" s="3688"/>
      <c r="K35" s="922" t="str">
        <f>IF(K33=$S$14,$T$10,IF(ROUNDDOWN(K33,0)=$S$10,$U$10,$T$10))</f>
        <v>　レベル　2</v>
      </c>
      <c r="L35" s="930" t="s">
        <v>1368</v>
      </c>
      <c r="M35" s="930" t="s">
        <v>911</v>
      </c>
      <c r="N35" s="3682"/>
      <c r="O35" s="3683"/>
    </row>
    <row r="36" spans="2:15" ht="45" hidden="1" customHeight="1">
      <c r="E36" s="893"/>
      <c r="F36" s="922" t="str">
        <f>IF(F33=$S$14,$T$11,IF(ROUNDDOWN(F33,0)=$S$11,$U$11,$T$11))</f>
        <v>　レベル　3</v>
      </c>
      <c r="G36" s="3682" t="s">
        <v>1369</v>
      </c>
      <c r="H36" s="3688"/>
      <c r="I36" s="3682" t="s">
        <v>169</v>
      </c>
      <c r="J36" s="3688"/>
      <c r="K36" s="922" t="str">
        <f>IF(K33=$S$14,$T$11,IF(ROUNDDOWN(K33,0)=$S$11,$U$11,$T$11))</f>
        <v>　レベル　3</v>
      </c>
      <c r="L36" s="930" t="s">
        <v>1369</v>
      </c>
      <c r="M36" s="930" t="s">
        <v>169</v>
      </c>
      <c r="N36" s="3682" t="s">
        <v>1370</v>
      </c>
      <c r="O36" s="3683"/>
    </row>
    <row r="37" spans="2:15" ht="56.25" hidden="1" customHeight="1">
      <c r="E37" s="893"/>
      <c r="F37" s="922" t="str">
        <f>IF(F33=$S$14,$T$12,IF(ROUNDDOWN(F33,0)=$S$12,$U$12,$T$12))</f>
        <v>　レベル　4</v>
      </c>
      <c r="G37" s="3682" t="s">
        <v>1371</v>
      </c>
      <c r="H37" s="3688"/>
      <c r="I37" s="3682" t="s">
        <v>549</v>
      </c>
      <c r="J37" s="3688"/>
      <c r="K37" s="922" t="str">
        <f>IF(K33=$S$14,$T$12,IF(ROUNDDOWN(K33,0)=$S$12,$U$12,$T$12))</f>
        <v>　レベル　4</v>
      </c>
      <c r="L37" s="930" t="s">
        <v>1371</v>
      </c>
      <c r="M37" s="930" t="s">
        <v>549</v>
      </c>
      <c r="N37" s="3682"/>
      <c r="O37" s="3683"/>
    </row>
    <row r="38" spans="2:15" ht="45" hidden="1" customHeight="1">
      <c r="E38" s="886"/>
      <c r="F38" s="933" t="str">
        <f>IF(F33=$S$14,$T$13,IF(ROUNDDOWN(F33,0)=$S$13,$U$13,$T$13))</f>
        <v>　レベル　5</v>
      </c>
      <c r="G38" s="3680" t="s">
        <v>1372</v>
      </c>
      <c r="H38" s="3687"/>
      <c r="I38" s="3680" t="s">
        <v>1372</v>
      </c>
      <c r="J38" s="3687"/>
      <c r="K38" s="933" t="str">
        <f>IF(K33=$S$14,$T$13,IF(ROUNDDOWN(K33,0)=$S$13,$U$13,$T$13))</f>
        <v>　レベル　5</v>
      </c>
      <c r="L38" s="934" t="s">
        <v>1372</v>
      </c>
      <c r="M38" s="934" t="s">
        <v>1372</v>
      </c>
      <c r="N38" s="3680" t="s">
        <v>1372</v>
      </c>
      <c r="O38" s="3681"/>
    </row>
    <row r="39" spans="2:15" ht="14.25" hidden="1" thickBot="1">
      <c r="E39" s="984"/>
      <c r="F39" s="985" t="s">
        <v>1373</v>
      </c>
      <c r="G39" s="986"/>
      <c r="H39" s="986"/>
      <c r="I39" s="986"/>
      <c r="J39" s="986"/>
      <c r="K39" s="987"/>
      <c r="L39" s="987"/>
      <c r="M39" s="986"/>
      <c r="N39" s="986"/>
      <c r="O39" s="986"/>
    </row>
    <row r="40" spans="2:15" ht="14.25" hidden="1" thickBot="1">
      <c r="E40" s="984"/>
      <c r="F40" s="988"/>
      <c r="G40" s="987" t="s">
        <v>1374</v>
      </c>
      <c r="H40" s="987"/>
      <c r="I40" s="989"/>
      <c r="J40" s="987"/>
      <c r="K40" s="987"/>
      <c r="L40" s="987"/>
      <c r="M40" s="987"/>
      <c r="N40" s="987"/>
      <c r="O40" s="987"/>
    </row>
    <row r="41" spans="2:15" ht="15.75" hidden="1">
      <c r="E41" s="990"/>
      <c r="F41" s="990"/>
      <c r="G41" s="991"/>
      <c r="H41" s="991"/>
      <c r="I41" s="991"/>
      <c r="J41" s="986"/>
      <c r="K41" s="987"/>
      <c r="L41" s="987"/>
      <c r="M41" s="987"/>
      <c r="N41" s="987"/>
      <c r="O41" s="987"/>
    </row>
    <row r="42" spans="2:15" ht="14.25" hidden="1" thickBot="1">
      <c r="E42" s="984"/>
      <c r="F42" s="992" t="s">
        <v>550</v>
      </c>
      <c r="G42" s="993" t="s">
        <v>551</v>
      </c>
      <c r="H42" s="987"/>
      <c r="I42" s="987"/>
      <c r="J42" s="986"/>
      <c r="K42" s="987"/>
      <c r="L42" s="987"/>
      <c r="M42" s="987"/>
      <c r="N42" s="987"/>
      <c r="O42" s="987"/>
    </row>
    <row r="43" spans="2:15" ht="14.25" hidden="1" customHeight="1" thickBot="1">
      <c r="E43" s="984"/>
      <c r="F43" s="910">
        <v>0</v>
      </c>
      <c r="G43" s="910">
        <v>0</v>
      </c>
      <c r="H43" s="994" t="s">
        <v>2193</v>
      </c>
      <c r="I43" s="995" t="s">
        <v>2399</v>
      </c>
      <c r="J43" s="987"/>
      <c r="K43" s="986"/>
      <c r="L43" s="987"/>
      <c r="M43" s="987"/>
      <c r="N43" s="987"/>
      <c r="O43" s="987"/>
    </row>
    <row r="44" spans="2:15" ht="14.25" hidden="1" thickBot="1">
      <c r="B44" s="1">
        <v>1</v>
      </c>
      <c r="C44" s="1">
        <v>1</v>
      </c>
      <c r="E44" s="984"/>
      <c r="F44" s="996">
        <f>IF(I43=T4,F43,IF(AND(M44&lt;2000,F40=S4),IF($F$53&lt;1,1,IF($F$53&lt;2,2,IF($F$53&lt;3,3,IF($F$53&lt;4,4,5)))),IF($F$53&lt;2,1,IF($F$53&lt;4,2,IF($F$53&lt;6,3,IF($F$53&lt;8,4,5))))))</f>
        <v>0</v>
      </c>
      <c r="G44" s="996">
        <f>IF(I43=T4,G43,IF(AND(M44&lt;2000,F40=S4),IF($G$53&lt;1,1,IF($G$53&lt;2,2,IF($G$53&lt;3,3,IF($G$53&lt;4,4,5)))),IF($G$53&lt;2,1,IF($G$53&lt;4,2,IF($G$53&lt;6,3,IF($G$53&lt;8,4,5))))))</f>
        <v>0</v>
      </c>
      <c r="H44" s="997" t="s">
        <v>552</v>
      </c>
      <c r="I44" s="905"/>
      <c r="J44" s="998" t="s">
        <v>553</v>
      </c>
      <c r="K44" s="999"/>
      <c r="L44" s="1000" t="s">
        <v>2194</v>
      </c>
      <c r="M44" s="1001">
        <f>メイン!C19</f>
        <v>20320</v>
      </c>
      <c r="N44" s="1002" t="s">
        <v>2126</v>
      </c>
      <c r="O44" s="1003">
        <f>メイン!L66-メイン!L64</f>
        <v>0</v>
      </c>
    </row>
    <row r="45" spans="2:15" ht="13.5" hidden="1" customHeight="1">
      <c r="B45" s="1">
        <v>2</v>
      </c>
      <c r="C45" s="1">
        <v>2</v>
      </c>
      <c r="E45" s="893"/>
      <c r="F45" s="1004" t="s">
        <v>2195</v>
      </c>
      <c r="G45" s="1004" t="s">
        <v>2195</v>
      </c>
      <c r="H45" s="3693" t="s">
        <v>2545</v>
      </c>
      <c r="I45" s="3694"/>
      <c r="J45" s="3689" t="s">
        <v>2546</v>
      </c>
      <c r="K45" s="3690"/>
      <c r="L45" s="1005"/>
      <c r="M45" s="1005"/>
      <c r="N45" s="1005"/>
      <c r="O45" s="1005"/>
    </row>
    <row r="46" spans="2:15" ht="13.5" hidden="1" customHeight="1">
      <c r="B46" s="1">
        <v>3</v>
      </c>
      <c r="C46" s="1">
        <v>3</v>
      </c>
      <c r="E46" s="893"/>
      <c r="F46" s="1006" t="s">
        <v>2196</v>
      </c>
      <c r="G46" s="1006" t="s">
        <v>2196</v>
      </c>
      <c r="H46" s="1007" t="s">
        <v>1359</v>
      </c>
      <c r="I46" s="1008"/>
      <c r="J46" s="1009" t="s">
        <v>2547</v>
      </c>
      <c r="K46" s="1008"/>
      <c r="L46" s="1005"/>
      <c r="M46" s="1005"/>
      <c r="N46" s="1005"/>
      <c r="O46" s="1005"/>
    </row>
    <row r="47" spans="2:15" ht="13.5" hidden="1" customHeight="1">
      <c r="B47" s="1">
        <v>4</v>
      </c>
      <c r="C47" s="1">
        <v>4</v>
      </c>
      <c r="E47" s="893"/>
      <c r="F47" s="1006" t="s">
        <v>2195</v>
      </c>
      <c r="G47" s="1006" t="s">
        <v>2196</v>
      </c>
      <c r="H47" s="1007" t="s">
        <v>864</v>
      </c>
      <c r="I47" s="1008"/>
      <c r="J47" s="1009" t="s">
        <v>2548</v>
      </c>
      <c r="K47" s="1008"/>
      <c r="L47" s="905" t="s">
        <v>865</v>
      </c>
      <c r="M47" s="905"/>
      <c r="N47" s="905"/>
      <c r="O47" s="1010"/>
    </row>
    <row r="48" spans="2:15" ht="13.5" hidden="1" customHeight="1">
      <c r="B48" s="1">
        <v>5</v>
      </c>
      <c r="C48" s="1">
        <v>5</v>
      </c>
      <c r="E48" s="893"/>
      <c r="F48" s="1006" t="s">
        <v>2196</v>
      </c>
      <c r="G48" s="1006" t="s">
        <v>2195</v>
      </c>
      <c r="H48" s="1007" t="s">
        <v>866</v>
      </c>
      <c r="I48" s="1008"/>
      <c r="J48" s="1009" t="s">
        <v>2549</v>
      </c>
      <c r="K48" s="1008"/>
      <c r="L48" s="997" t="s">
        <v>554</v>
      </c>
      <c r="M48" s="1011"/>
      <c r="N48" s="1012" t="s">
        <v>555</v>
      </c>
      <c r="O48" s="999"/>
    </row>
    <row r="49" spans="2:15" ht="13.5" hidden="1" customHeight="1">
      <c r="B49" s="940">
        <v>0</v>
      </c>
      <c r="C49" s="940">
        <v>0</v>
      </c>
      <c r="E49" s="893"/>
      <c r="F49" s="1006" t="s">
        <v>2196</v>
      </c>
      <c r="G49" s="1006" t="s">
        <v>2195</v>
      </c>
      <c r="H49" s="1007" t="s">
        <v>867</v>
      </c>
      <c r="I49" s="1008"/>
      <c r="J49" s="3689" t="s">
        <v>2550</v>
      </c>
      <c r="K49" s="3694"/>
      <c r="L49" s="3691" t="s">
        <v>2032</v>
      </c>
      <c r="M49" s="3694"/>
      <c r="N49" s="3689" t="s">
        <v>2551</v>
      </c>
      <c r="O49" s="3690"/>
    </row>
    <row r="50" spans="2:15" ht="13.5" hidden="1" customHeight="1">
      <c r="E50" s="893"/>
      <c r="F50" s="1006" t="s">
        <v>2196</v>
      </c>
      <c r="G50" s="1006" t="s">
        <v>2195</v>
      </c>
      <c r="H50" s="1007" t="s">
        <v>866</v>
      </c>
      <c r="I50" s="1008"/>
      <c r="J50" s="3689" t="s">
        <v>2552</v>
      </c>
      <c r="K50" s="3692"/>
      <c r="L50" s="3691" t="s">
        <v>2041</v>
      </c>
      <c r="M50" s="3690"/>
      <c r="N50" s="3689" t="s">
        <v>2553</v>
      </c>
      <c r="O50" s="3690"/>
    </row>
    <row r="51" spans="2:15" ht="13.5" hidden="1" customHeight="1">
      <c r="E51" s="893"/>
      <c r="F51" s="1006" t="s">
        <v>2195</v>
      </c>
      <c r="G51" s="1006" t="s">
        <v>2196</v>
      </c>
      <c r="H51" s="1007" t="s">
        <v>2554</v>
      </c>
      <c r="I51" s="1008"/>
      <c r="J51" s="1009" t="s">
        <v>2555</v>
      </c>
      <c r="K51" s="1008"/>
      <c r="L51" s="3691" t="s">
        <v>2042</v>
      </c>
      <c r="M51" s="3690"/>
      <c r="N51" s="3689" t="s">
        <v>2043</v>
      </c>
      <c r="O51" s="3690"/>
    </row>
    <row r="52" spans="2:15" ht="14.25" hidden="1" customHeight="1" thickBot="1">
      <c r="E52" s="893"/>
      <c r="F52" s="1013" t="s">
        <v>2196</v>
      </c>
      <c r="G52" s="1013" t="s">
        <v>2196</v>
      </c>
      <c r="H52" s="1007" t="s">
        <v>953</v>
      </c>
      <c r="I52" s="1008"/>
      <c r="J52" s="1009" t="s">
        <v>2556</v>
      </c>
      <c r="K52" s="1008"/>
      <c r="L52" s="3691" t="s">
        <v>1771</v>
      </c>
      <c r="M52" s="3690"/>
      <c r="N52" s="3689" t="s">
        <v>2557</v>
      </c>
      <c r="O52" s="3690"/>
    </row>
    <row r="53" spans="2:15" ht="13.5" hidden="1" customHeight="1">
      <c r="E53" s="893"/>
      <c r="F53" s="1014">
        <f>IF(F40=S4,COUNTIF(F49:F52,S4),COUNTIF(F45:F52,S4))</f>
        <v>5</v>
      </c>
      <c r="G53" s="1015">
        <f>IF(F40=S4,COUNTIF(G49:G52,S4),COUNTIF(G45:G52,S4))</f>
        <v>4</v>
      </c>
      <c r="H53" s="1005" t="s">
        <v>1772</v>
      </c>
      <c r="I53" s="1016"/>
      <c r="J53" s="1016"/>
      <c r="K53" s="1016"/>
      <c r="L53" s="987"/>
      <c r="M53" s="987"/>
      <c r="N53" s="987"/>
      <c r="O53" s="987"/>
    </row>
    <row r="54" spans="2:15" ht="14.25" hidden="1" thickBot="1">
      <c r="E54" s="893"/>
      <c r="F54" s="886"/>
      <c r="G54" s="1017" t="s">
        <v>1773</v>
      </c>
      <c r="H54" s="1005"/>
      <c r="I54" s="1016"/>
      <c r="J54" s="1016"/>
      <c r="K54" s="987"/>
      <c r="L54" s="987"/>
      <c r="M54" s="987"/>
      <c r="N54" s="987"/>
      <c r="O54" s="987"/>
    </row>
    <row r="55" spans="2:15" ht="16.5" hidden="1" thickBot="1">
      <c r="E55" s="888"/>
      <c r="F55" s="886"/>
      <c r="G55" s="910">
        <v>0</v>
      </c>
      <c r="H55" s="994" t="s">
        <v>2193</v>
      </c>
      <c r="I55" s="995" t="s">
        <v>2399</v>
      </c>
      <c r="J55" s="987"/>
      <c r="K55" s="987"/>
      <c r="L55" s="1005"/>
      <c r="M55" s="1005"/>
      <c r="N55" s="1005"/>
      <c r="O55" s="1005"/>
    </row>
    <row r="56" spans="2:15" ht="15.75" hidden="1">
      <c r="B56" s="1">
        <v>1</v>
      </c>
      <c r="C56" s="1">
        <v>1</v>
      </c>
      <c r="E56" s="888"/>
      <c r="F56" s="1018"/>
      <c r="G56" s="3697">
        <f>IF(I55=T4,G55,IF($G$63&lt;2,1,IF($G$63&lt;2,2,IF($G$63&lt;4,3,IF($G$63&lt;5,4,5)))))</f>
        <v>0</v>
      </c>
      <c r="H56" s="1019" t="s">
        <v>1774</v>
      </c>
      <c r="I56" s="1019"/>
      <c r="J56" s="1019" t="s">
        <v>2126</v>
      </c>
      <c r="K56" s="1003">
        <f>メイン!L64</f>
        <v>300</v>
      </c>
      <c r="L56" s="987"/>
      <c r="M56" s="987"/>
      <c r="N56" s="987"/>
      <c r="O56" s="987"/>
    </row>
    <row r="57" spans="2:15" ht="16.5" hidden="1" thickBot="1">
      <c r="B57" s="1">
        <v>2</v>
      </c>
      <c r="C57" s="1">
        <v>2</v>
      </c>
      <c r="E57" s="888"/>
      <c r="F57" s="1018"/>
      <c r="G57" s="3697"/>
      <c r="H57" s="997" t="s">
        <v>552</v>
      </c>
      <c r="I57" s="915"/>
      <c r="J57" s="1012" t="s">
        <v>553</v>
      </c>
      <c r="K57" s="999"/>
      <c r="L57" s="987"/>
      <c r="M57" s="987"/>
      <c r="N57" s="987"/>
      <c r="O57" s="987"/>
    </row>
    <row r="58" spans="2:15" ht="15.75" hidden="1" customHeight="1">
      <c r="B58" s="1">
        <v>3</v>
      </c>
      <c r="C58" s="1">
        <v>3</v>
      </c>
      <c r="E58" s="888"/>
      <c r="F58" s="886"/>
      <c r="G58" s="1004" t="s">
        <v>2196</v>
      </c>
      <c r="H58" s="3693" t="s">
        <v>2558</v>
      </c>
      <c r="I58" s="3690"/>
      <c r="J58" s="3689" t="s">
        <v>2559</v>
      </c>
      <c r="K58" s="3690"/>
      <c r="L58" s="1005"/>
      <c r="M58" s="1005"/>
      <c r="N58" s="1005"/>
      <c r="O58" s="1005"/>
    </row>
    <row r="59" spans="2:15" ht="15.75" hidden="1" customHeight="1">
      <c r="B59" s="1">
        <v>4</v>
      </c>
      <c r="C59" s="1">
        <v>4</v>
      </c>
      <c r="E59" s="888"/>
      <c r="F59" s="886"/>
      <c r="G59" s="1006" t="s">
        <v>2196</v>
      </c>
      <c r="H59" s="1007" t="s">
        <v>2334</v>
      </c>
      <c r="I59" s="1008"/>
      <c r="J59" s="3689" t="s">
        <v>2560</v>
      </c>
      <c r="K59" s="3690"/>
      <c r="L59" s="1005"/>
      <c r="M59" s="1005"/>
      <c r="N59" s="1005"/>
      <c r="O59" s="1005"/>
    </row>
    <row r="60" spans="2:15" ht="15.75" hidden="1" customHeight="1">
      <c r="B60" s="1">
        <v>5</v>
      </c>
      <c r="C60" s="1">
        <v>5</v>
      </c>
      <c r="E60" s="888"/>
      <c r="F60" s="886"/>
      <c r="G60" s="1006"/>
      <c r="H60" s="1007" t="s">
        <v>2335</v>
      </c>
      <c r="I60" s="1008"/>
      <c r="J60" s="3689" t="s">
        <v>2336</v>
      </c>
      <c r="K60" s="3690"/>
      <c r="L60" s="1005"/>
      <c r="M60" s="1005"/>
      <c r="N60" s="1005"/>
      <c r="O60" s="1005"/>
    </row>
    <row r="61" spans="2:15" ht="15.75" hidden="1" customHeight="1">
      <c r="B61" s="940">
        <v>0</v>
      </c>
      <c r="C61" s="940">
        <v>0</v>
      </c>
      <c r="E61" s="888"/>
      <c r="F61" s="886"/>
      <c r="G61" s="1006" t="s">
        <v>2195</v>
      </c>
      <c r="H61" s="1007" t="s">
        <v>2337</v>
      </c>
      <c r="I61" s="1008"/>
      <c r="J61" s="3689" t="s">
        <v>2561</v>
      </c>
      <c r="K61" s="3690"/>
      <c r="L61" s="1005"/>
      <c r="M61" s="1005"/>
      <c r="N61" s="1005"/>
      <c r="O61" s="1005"/>
    </row>
    <row r="62" spans="2:15" ht="16.5" hidden="1" customHeight="1" thickBot="1">
      <c r="E62" s="888"/>
      <c r="F62" s="886"/>
      <c r="G62" s="1013" t="s">
        <v>2196</v>
      </c>
      <c r="H62" s="1007" t="s">
        <v>2338</v>
      </c>
      <c r="I62" s="1008"/>
      <c r="J62" s="3689" t="s">
        <v>2336</v>
      </c>
      <c r="K62" s="3690"/>
      <c r="L62" s="1005"/>
      <c r="M62" s="1005"/>
      <c r="N62" s="1005"/>
      <c r="O62" s="1005"/>
    </row>
    <row r="63" spans="2:15" ht="15.75" hidden="1" customHeight="1">
      <c r="E63" s="888"/>
      <c r="F63" s="886"/>
      <c r="G63" s="1015">
        <f>COUNTIF(G58:G62,S4)</f>
        <v>3</v>
      </c>
      <c r="H63" s="1005" t="s">
        <v>1772</v>
      </c>
      <c r="I63" s="1020"/>
      <c r="J63" s="1005"/>
      <c r="K63" s="1005"/>
      <c r="L63" s="1005"/>
      <c r="M63" s="1005"/>
      <c r="N63" s="1005"/>
      <c r="O63" s="1005"/>
    </row>
    <row r="64" spans="2:15" ht="9" customHeight="1">
      <c r="E64" s="888"/>
      <c r="F64" s="1021"/>
      <c r="G64" s="1005"/>
      <c r="H64" s="1005"/>
      <c r="I64" s="1005"/>
      <c r="J64" s="1005"/>
      <c r="K64" s="1005"/>
      <c r="L64" s="1005"/>
      <c r="M64" s="1005"/>
      <c r="N64" s="1005"/>
      <c r="O64" s="1005"/>
    </row>
    <row r="65" spans="2:15" ht="15.75">
      <c r="D65" s="1311">
        <v>1.2</v>
      </c>
      <c r="E65" s="1022" t="s">
        <v>2339</v>
      </c>
      <c r="F65" s="895"/>
      <c r="G65" s="1023"/>
      <c r="H65" s="1024"/>
      <c r="I65" s="1024"/>
      <c r="J65" s="1024"/>
      <c r="K65" s="1023"/>
      <c r="L65" s="1024"/>
      <c r="M65" s="1024"/>
      <c r="N65" s="1024"/>
      <c r="O65" s="1024"/>
    </row>
    <row r="66" spans="2:15" ht="15.75">
      <c r="D66" s="885"/>
      <c r="E66" s="886"/>
      <c r="F66" s="899" t="s">
        <v>2340</v>
      </c>
      <c r="G66" s="976"/>
      <c r="H66" s="1025"/>
      <c r="I66" s="1005"/>
      <c r="J66" s="979" t="str">
        <f>IF(OR(F68=0,AND(J67=0,O67=0)),$R$3,"")</f>
        <v/>
      </c>
      <c r="K66" s="975"/>
      <c r="L66" s="976"/>
      <c r="M66" s="1025"/>
      <c r="N66" s="1005"/>
      <c r="O66" s="979"/>
    </row>
    <row r="67" spans="2:15" ht="16.5" thickBot="1">
      <c r="D67" s="888"/>
      <c r="E67" s="889"/>
      <c r="F67" s="903" t="s">
        <v>954</v>
      </c>
      <c r="G67" s="904"/>
      <c r="H67" s="905"/>
      <c r="I67" s="906" t="s">
        <v>1121</v>
      </c>
      <c r="J67" s="909">
        <f>重み!M15</f>
        <v>0.60629921259842512</v>
      </c>
      <c r="K67" s="903" t="s">
        <v>1611</v>
      </c>
      <c r="L67" s="904"/>
      <c r="M67" s="905"/>
      <c r="N67" s="906" t="s">
        <v>1121</v>
      </c>
      <c r="O67" s="909">
        <f>重み!N15</f>
        <v>4.7244094488188976E-3</v>
      </c>
    </row>
    <row r="68" spans="2:15" ht="16.5" thickBot="1">
      <c r="D68" s="888"/>
      <c r="E68" s="889"/>
      <c r="F68" s="910">
        <v>3</v>
      </c>
      <c r="G68" s="1026" t="s">
        <v>2342</v>
      </c>
      <c r="H68" s="915"/>
      <c r="I68" s="915"/>
      <c r="J68" s="916"/>
      <c r="K68" s="910">
        <v>3</v>
      </c>
      <c r="L68" s="1026" t="s">
        <v>955</v>
      </c>
      <c r="M68" s="915"/>
      <c r="N68" s="915"/>
      <c r="O68" s="916"/>
    </row>
    <row r="69" spans="2:15" ht="15.75" hidden="1">
      <c r="B69" s="1">
        <v>1</v>
      </c>
      <c r="C69" s="1">
        <v>1</v>
      </c>
      <c r="D69" s="888"/>
      <c r="E69" s="889"/>
      <c r="F69" s="1027"/>
      <c r="G69" s="1026" t="s">
        <v>1038</v>
      </c>
      <c r="H69" s="915"/>
      <c r="I69" s="915"/>
      <c r="J69" s="916"/>
      <c r="K69" s="1027"/>
      <c r="L69" s="1026" t="s">
        <v>1038</v>
      </c>
      <c r="M69" s="915"/>
      <c r="N69" s="915"/>
      <c r="O69" s="916"/>
    </row>
    <row r="70" spans="2:15" ht="15.75" hidden="1">
      <c r="B70" s="1" t="s">
        <v>2400</v>
      </c>
      <c r="C70" s="1" t="s">
        <v>2400</v>
      </c>
      <c r="D70" s="888"/>
      <c r="E70" s="889"/>
      <c r="F70" s="922" t="str">
        <f>IF(F68=$S$14,$T$9,IF(AND($O$3=$U$3,ROUNDDOWN(F68,0)=$S$9),$U$9,$T$9))</f>
        <v>　レベル　1</v>
      </c>
      <c r="G70" s="919" t="s">
        <v>956</v>
      </c>
      <c r="H70" s="920"/>
      <c r="I70" s="920"/>
      <c r="J70" s="921"/>
      <c r="K70" s="922" t="str">
        <f>IF(K68=$S$14,$T$9,IF(AND($O$3=$U$3,ROUNDDOWN(K68,0)=$S$9),$U$9,$T$9))</f>
        <v>　レベル　1</v>
      </c>
      <c r="L70" s="919" t="s">
        <v>2343</v>
      </c>
      <c r="M70" s="920"/>
      <c r="N70" s="920"/>
      <c r="O70" s="921"/>
    </row>
    <row r="71" spans="2:15" ht="15.75" hidden="1">
      <c r="B71" s="1">
        <v>3</v>
      </c>
      <c r="C71" s="1">
        <v>3</v>
      </c>
      <c r="D71" s="888"/>
      <c r="E71" s="889"/>
      <c r="F71" s="922" t="str">
        <f>IF(F68=$S$14,$T$10,IF(AND($O$3=$U$3,ROUNDDOWN(F68,0)=$S$10),$U$10,$T$10))</f>
        <v>　レベル　2</v>
      </c>
      <c r="G71" s="926"/>
      <c r="H71" s="927"/>
      <c r="I71" s="927"/>
      <c r="J71" s="928"/>
      <c r="K71" s="922" t="str">
        <f>IF(K68=$S$14,$T$10,IF(AND($O$3=$U$3,ROUNDDOWN(K68,0)=$S$10),$U$10,$T$10))</f>
        <v>　レベル　2</v>
      </c>
      <c r="L71" s="926"/>
      <c r="M71" s="927"/>
      <c r="N71" s="927"/>
      <c r="O71" s="928"/>
    </row>
    <row r="72" spans="2:15" ht="15.75" hidden="1">
      <c r="B72" s="1" t="s">
        <v>2400</v>
      </c>
      <c r="C72" s="1" t="s">
        <v>2400</v>
      </c>
      <c r="D72" s="888"/>
      <c r="E72" s="889"/>
      <c r="F72" s="922" t="str">
        <f>IF(F68=$S$14,$T$11,IF(AND($O$3=$U$3,ROUNDDOWN(F68,0)=$S$11),$U$11,$T$11))</f>
        <v>　レベル　3</v>
      </c>
      <c r="G72" s="926" t="s">
        <v>957</v>
      </c>
      <c r="H72" s="927"/>
      <c r="I72" s="927"/>
      <c r="J72" s="928"/>
      <c r="K72" s="922" t="str">
        <f>IF(K68=$S$14,$T$11,IF(AND($O$3=$U$3,ROUNDDOWN(K68,0)=$S$11),$U$11,$T$11))</f>
        <v>　レベル　3</v>
      </c>
      <c r="L72" s="926" t="s">
        <v>2344</v>
      </c>
      <c r="M72" s="927"/>
      <c r="N72" s="927"/>
      <c r="O72" s="928"/>
    </row>
    <row r="73" spans="2:15" ht="15.75" hidden="1">
      <c r="B73" s="1">
        <v>5</v>
      </c>
      <c r="C73" s="1">
        <v>5</v>
      </c>
      <c r="D73" s="888"/>
      <c r="E73" s="889"/>
      <c r="F73" s="922" t="str">
        <f>IF(F68=$S$14,$T$12,IF(AND($O$3=$U$3,ROUNDDOWN(F68,0)=$S$12),$U$12,$T$12))</f>
        <v>　レベル　4</v>
      </c>
      <c r="G73" s="926"/>
      <c r="H73" s="927"/>
      <c r="I73" s="927"/>
      <c r="J73" s="928"/>
      <c r="K73" s="922" t="str">
        <f>IF(K68=$S$14,$T$12,IF(AND($O$3=$U$3,ROUNDDOWN(K68,0)=$S$12),$U$12,$T$12))</f>
        <v>　レベル　4</v>
      </c>
      <c r="L73" s="926"/>
      <c r="M73" s="927"/>
      <c r="N73" s="927"/>
      <c r="O73" s="928"/>
    </row>
    <row r="74" spans="2:15" ht="15.75" hidden="1">
      <c r="B74" s="940">
        <v>0</v>
      </c>
      <c r="C74" s="940">
        <v>0</v>
      </c>
      <c r="D74" s="888"/>
      <c r="E74" s="889"/>
      <c r="F74" s="933" t="str">
        <f>IF(F68=$S$14,$T$13,IF(AND($O$3=$U$3,ROUNDDOWN(F68,0)=$S$13),$U$13,$T$13))</f>
        <v>　レベル　5</v>
      </c>
      <c r="G74" s="937" t="s">
        <v>2345</v>
      </c>
      <c r="H74" s="938"/>
      <c r="I74" s="938"/>
      <c r="J74" s="939"/>
      <c r="K74" s="933" t="str">
        <f>IF(K68=$S$14,$T$13,IF(AND($O$3=$U$3,ROUNDDOWN(K68,0)=$S$13),$U$13,$T$13))</f>
        <v>　レベル　5</v>
      </c>
      <c r="L74" s="937" t="s">
        <v>2346</v>
      </c>
      <c r="M74" s="938"/>
      <c r="N74" s="938"/>
      <c r="O74" s="939"/>
    </row>
    <row r="75" spans="2:15" ht="15.75" hidden="1">
      <c r="D75" s="888"/>
      <c r="E75" s="893"/>
      <c r="F75" s="1026"/>
      <c r="G75" s="1026" t="s">
        <v>1037</v>
      </c>
      <c r="H75" s="915"/>
      <c r="I75" s="915"/>
      <c r="J75" s="916"/>
      <c r="K75" s="1028"/>
      <c r="L75" s="1026" t="s">
        <v>1037</v>
      </c>
      <c r="M75" s="915"/>
      <c r="N75" s="915"/>
      <c r="O75" s="916"/>
    </row>
    <row r="76" spans="2:15" ht="15.75">
      <c r="D76" s="888"/>
      <c r="E76" s="893"/>
      <c r="F76" s="1029" t="str">
        <f>IF(F68=$S$14,$T$9,IF(AND($O$3&lt;&gt;$U$3,ROUNDDOWN(F68,0)=$S$9),$U$9,$T$9))</f>
        <v>　レベル　1</v>
      </c>
      <c r="G76" s="919" t="s">
        <v>958</v>
      </c>
      <c r="H76" s="920"/>
      <c r="I76" s="920"/>
      <c r="J76" s="921"/>
      <c r="K76" s="1029" t="str">
        <f>IF(K68=$S$14,$T$9,IF(AND($O$3&lt;&gt;$U$3,ROUNDDOWN(K68,0)=$S$9),$U$9,$T$9))</f>
        <v>　レベル　1</v>
      </c>
      <c r="L76" s="919" t="s">
        <v>958</v>
      </c>
      <c r="M76" s="920"/>
      <c r="N76" s="920"/>
      <c r="O76" s="921"/>
    </row>
    <row r="77" spans="2:15" ht="15.75">
      <c r="D77" s="888"/>
      <c r="E77" s="893"/>
      <c r="F77" s="922" t="str">
        <f>IF(F68=$S$14,$T$10,IF(AND($O$3&lt;&gt;$U$3,ROUNDDOWN(F68,0)=$S$10),$U$10,$T$10))</f>
        <v>　レベル　2</v>
      </c>
      <c r="G77" s="926" t="s">
        <v>1788</v>
      </c>
      <c r="H77" s="927"/>
      <c r="I77" s="927"/>
      <c r="J77" s="928"/>
      <c r="K77" s="922" t="str">
        <f>IF(K68=$S$14,$T$10,IF(AND($O$3&lt;&gt;$U$3,ROUNDDOWN(K68,0)=$S$10),$U$10,$T$10))</f>
        <v>　レベル　2</v>
      </c>
      <c r="L77" s="926" t="s">
        <v>1788</v>
      </c>
      <c r="M77" s="927"/>
      <c r="N77" s="927"/>
      <c r="O77" s="928"/>
    </row>
    <row r="78" spans="2:15" ht="15.75">
      <c r="D78" s="888"/>
      <c r="E78" s="893"/>
      <c r="F78" s="922" t="str">
        <f>IF(F68=$S$14,$T$11,IF(AND($O$3&lt;&gt;$U$3,ROUNDDOWN(F68,0)=$S$11),$U$11,$T$11))</f>
        <v>■レベル　3</v>
      </c>
      <c r="G78" s="926" t="s">
        <v>959</v>
      </c>
      <c r="H78" s="927"/>
      <c r="I78" s="927"/>
      <c r="J78" s="928"/>
      <c r="K78" s="922" t="str">
        <f>IF(K68=$S$14,$T$11,IF(AND($O$3&lt;&gt;$U$3,ROUNDDOWN(K68,0)=$S$11),$U$11,$T$11))</f>
        <v>■レベル　3</v>
      </c>
      <c r="L78" s="926" t="s">
        <v>959</v>
      </c>
      <c r="M78" s="927"/>
      <c r="N78" s="927"/>
      <c r="O78" s="928"/>
    </row>
    <row r="79" spans="2:15" ht="15.75">
      <c r="D79" s="888"/>
      <c r="E79" s="893"/>
      <c r="F79" s="922" t="str">
        <f>IF(F68=$S$14,$T$12,IF(AND($O$3&lt;&gt;$U$3,ROUNDDOWN(F68,0)=$S$12),$U$12,$T$12))</f>
        <v>　レベル　4</v>
      </c>
      <c r="G79" s="926" t="s">
        <v>1788</v>
      </c>
      <c r="H79" s="927"/>
      <c r="I79" s="927"/>
      <c r="J79" s="928"/>
      <c r="K79" s="922" t="str">
        <f>IF(K68=$S$14,$T$12,IF(AND($O$3&lt;&gt;$U$3,ROUNDDOWN(K68,0)=$S$12),$U$12,$T$12))</f>
        <v>　レベル　4</v>
      </c>
      <c r="L79" s="926" t="s">
        <v>1788</v>
      </c>
      <c r="M79" s="927"/>
      <c r="N79" s="927"/>
      <c r="O79" s="928"/>
    </row>
    <row r="80" spans="2:15" ht="15.75">
      <c r="D80" s="888"/>
      <c r="E80" s="893"/>
      <c r="F80" s="933" t="str">
        <f>IF(F68=$S$14,$T$13,IF(AND($O$3&lt;&gt;$U$3,ROUNDDOWN(F68,0)=$S$13),$U$13,$T$13))</f>
        <v>　レベル　5</v>
      </c>
      <c r="G80" s="937" t="s">
        <v>960</v>
      </c>
      <c r="H80" s="938"/>
      <c r="I80" s="938"/>
      <c r="J80" s="939"/>
      <c r="K80" s="933" t="str">
        <f>IF(K68=$S$14,$T$13,IF(AND($O$3&lt;&gt;$U$3,ROUNDDOWN(K68,0)=$S$13),$U$13,$T$13))</f>
        <v>　レベル　5</v>
      </c>
      <c r="L80" s="937" t="s">
        <v>960</v>
      </c>
      <c r="M80" s="938"/>
      <c r="N80" s="938"/>
      <c r="O80" s="939"/>
    </row>
    <row r="81" spans="2:15" ht="15.75">
      <c r="D81" s="888"/>
      <c r="E81" s="893"/>
      <c r="F81" s="893"/>
      <c r="G81" s="1030"/>
      <c r="H81" s="1030"/>
      <c r="I81" s="1030"/>
      <c r="J81" s="1030"/>
      <c r="K81" s="1030"/>
      <c r="L81" s="1030"/>
      <c r="M81" s="1030"/>
      <c r="N81" s="1030"/>
      <c r="O81" s="1030"/>
    </row>
    <row r="82" spans="2:15" ht="15.75">
      <c r="D82" s="885"/>
      <c r="E82" s="886"/>
      <c r="F82" s="899" t="s">
        <v>961</v>
      </c>
      <c r="G82" s="976"/>
      <c r="H82" s="1025"/>
      <c r="I82" s="1005"/>
      <c r="J82" s="979" t="str">
        <f>IF(OR(F84=0,AND(J83=0,O83=0)),$R$3,"")</f>
        <v/>
      </c>
      <c r="K82" s="975"/>
      <c r="L82" s="976"/>
      <c r="M82" s="1025"/>
      <c r="N82" s="1005"/>
      <c r="O82" s="1005"/>
    </row>
    <row r="83" spans="2:15" ht="16.5" thickBot="1">
      <c r="D83" s="888"/>
      <c r="E83" s="889"/>
      <c r="F83" s="903" t="s">
        <v>1519</v>
      </c>
      <c r="G83" s="904"/>
      <c r="H83" s="905"/>
      <c r="I83" s="906" t="s">
        <v>1121</v>
      </c>
      <c r="J83" s="909">
        <f>重み!M16</f>
        <v>0.39370078740157483</v>
      </c>
      <c r="K83" s="903" t="s">
        <v>1611</v>
      </c>
      <c r="L83" s="904"/>
      <c r="M83" s="905"/>
      <c r="N83" s="906" t="s">
        <v>1121</v>
      </c>
      <c r="O83" s="909">
        <f>重み!N16</f>
        <v>4.7244094488188976E-3</v>
      </c>
    </row>
    <row r="84" spans="2:15" ht="16.5" thickBot="1">
      <c r="D84" s="888"/>
      <c r="E84" s="889"/>
      <c r="F84" s="910">
        <v>3</v>
      </c>
      <c r="G84" s="915" t="s">
        <v>873</v>
      </c>
      <c r="H84" s="915"/>
      <c r="I84" s="1026" t="s">
        <v>874</v>
      </c>
      <c r="J84" s="916"/>
      <c r="K84" s="910">
        <v>3</v>
      </c>
      <c r="L84" s="1026" t="s">
        <v>1123</v>
      </c>
      <c r="M84" s="916"/>
      <c r="N84" s="1026"/>
      <c r="O84" s="1031"/>
    </row>
    <row r="85" spans="2:15" ht="15.75" hidden="1">
      <c r="B85" s="1">
        <v>1</v>
      </c>
      <c r="C85" s="1">
        <v>1</v>
      </c>
      <c r="D85" s="888"/>
      <c r="E85" s="889"/>
      <c r="F85" s="1027"/>
      <c r="G85" s="915" t="s">
        <v>1038</v>
      </c>
      <c r="H85" s="1032"/>
      <c r="I85" s="1032"/>
      <c r="J85" s="1033"/>
      <c r="K85" s="1027"/>
      <c r="L85" s="915" t="s">
        <v>1038</v>
      </c>
      <c r="M85" s="1032"/>
      <c r="N85" s="1032"/>
      <c r="O85" s="1033"/>
    </row>
    <row r="86" spans="2:15" ht="30" hidden="1" customHeight="1">
      <c r="B86" s="1">
        <v>2</v>
      </c>
      <c r="C86" s="1">
        <v>2</v>
      </c>
      <c r="D86" s="888"/>
      <c r="E86" s="889"/>
      <c r="F86" s="922" t="str">
        <f>IF(F84=$S$14,$T$9,IF(AND($O$3=$U$3,ROUNDDOWN(F84,0)=$S$9),$U$9,$T$9))</f>
        <v>　レベル　1</v>
      </c>
      <c r="G86" s="1034" t="s">
        <v>963</v>
      </c>
      <c r="H86" s="1035"/>
      <c r="I86" s="1034" t="s">
        <v>2182</v>
      </c>
      <c r="J86" s="1035"/>
      <c r="K86" s="922" t="str">
        <f>IF(K84=$S$14,$T$9,IF(AND($O$3=$U$3,ROUNDDOWN(K84,0)=$S$9),$U$9,$T$9))</f>
        <v>　レベル　1</v>
      </c>
      <c r="L86" s="3695" t="s">
        <v>2562</v>
      </c>
      <c r="M86" s="3696"/>
      <c r="N86" s="3678" t="s">
        <v>247</v>
      </c>
      <c r="O86" s="3684"/>
    </row>
    <row r="87" spans="2:15" ht="30" hidden="1" customHeight="1">
      <c r="B87" s="1">
        <v>3</v>
      </c>
      <c r="C87" s="1">
        <v>3</v>
      </c>
      <c r="D87" s="888"/>
      <c r="E87" s="889"/>
      <c r="F87" s="922" t="str">
        <f>IF(F84=$S$14,$T$10,IF(AND($O$3=$U$3,ROUNDDOWN(F84,0)=$S$10),$U$10,$T$10))</f>
        <v>　レベル　2</v>
      </c>
      <c r="G87" s="926"/>
      <c r="H87" s="927"/>
      <c r="I87" s="926"/>
      <c r="J87" s="927"/>
      <c r="K87" s="922" t="str">
        <f>IF(K84=$S$14,$T$10,IF(AND($O$3=$U$3,ROUNDDOWN(K84,0)=$S$10),$U$10,$T$10))</f>
        <v>　レベル　2</v>
      </c>
      <c r="L87" s="925"/>
      <c r="M87" s="1036"/>
      <c r="N87" s="930"/>
      <c r="O87" s="1036"/>
    </row>
    <row r="88" spans="2:15" ht="30" hidden="1" customHeight="1">
      <c r="B88" s="1">
        <v>4</v>
      </c>
      <c r="C88" s="1">
        <v>4</v>
      </c>
      <c r="D88" s="888"/>
      <c r="E88" s="889"/>
      <c r="F88" s="922" t="str">
        <f>IF(F84=$S$14,$T$11,IF(AND($O$3=$U$3,ROUNDDOWN(F84,0)=$S$11),$U$11,$T$11))</f>
        <v>　レベル　3</v>
      </c>
      <c r="G88" s="926" t="s">
        <v>248</v>
      </c>
      <c r="H88" s="927"/>
      <c r="I88" s="926" t="s">
        <v>249</v>
      </c>
      <c r="J88" s="927"/>
      <c r="K88" s="922" t="str">
        <f>IF(K84=$S$14,$T$11,IF(AND($O$3=$U$3,ROUNDDOWN(K84,0)=$S$11),$U$11,$T$11))</f>
        <v>　レベル　3</v>
      </c>
      <c r="L88" s="3700" t="s">
        <v>2563</v>
      </c>
      <c r="M88" s="3683"/>
      <c r="N88" s="3682" t="s">
        <v>250</v>
      </c>
      <c r="O88" s="3683"/>
    </row>
    <row r="89" spans="2:15" ht="30" hidden="1" customHeight="1">
      <c r="B89" s="1">
        <v>5</v>
      </c>
      <c r="C89" s="1">
        <v>5</v>
      </c>
      <c r="D89" s="888"/>
      <c r="E89" s="889"/>
      <c r="F89" s="922" t="str">
        <f>IF(F84=$S$14,$T$12,IF(AND($O$3=$U$3,ROUNDDOWN(F84,0)=$S$12),$U$12,$T$12))</f>
        <v>　レベル　4</v>
      </c>
      <c r="G89" s="926" t="s">
        <v>2183</v>
      </c>
      <c r="H89" s="927"/>
      <c r="I89" s="926" t="s">
        <v>2183</v>
      </c>
      <c r="J89" s="927"/>
      <c r="K89" s="922" t="str">
        <f>IF(K84=$S$14,$T$12,IF(AND($O$3=$U$3,ROUNDDOWN(K84,0)=$S$12),$U$12,$T$12))</f>
        <v>　レベル　4</v>
      </c>
      <c r="L89" s="925"/>
      <c r="M89" s="1036"/>
      <c r="N89" s="930"/>
      <c r="O89" s="1036"/>
    </row>
    <row r="90" spans="2:15" ht="30" hidden="1" customHeight="1">
      <c r="B90" s="940">
        <v>0</v>
      </c>
      <c r="C90" s="940">
        <v>0</v>
      </c>
      <c r="D90" s="888"/>
      <c r="E90" s="889"/>
      <c r="F90" s="933" t="str">
        <f>IF(F84=$S$14,$T$13,IF(AND($O$3=$U$3,ROUNDDOWN(F84,0)=$S$13),$U$13,$T$13))</f>
        <v>　レベル　5</v>
      </c>
      <c r="G90" s="937" t="s">
        <v>2184</v>
      </c>
      <c r="H90" s="938"/>
      <c r="I90" s="937" t="s">
        <v>251</v>
      </c>
      <c r="J90" s="938"/>
      <c r="K90" s="933" t="str">
        <f>IF(K84=$S$14,$T$13,IF(AND($O$3=$U$3,ROUNDDOWN(K84,0)=$S$13),$U$13,$T$13))</f>
        <v>　レベル　5</v>
      </c>
      <c r="L90" s="3701" t="s">
        <v>2564</v>
      </c>
      <c r="M90" s="3681"/>
      <c r="N90" s="3680" t="s">
        <v>2185</v>
      </c>
      <c r="O90" s="3681"/>
    </row>
    <row r="91" spans="2:15" ht="15.75" hidden="1">
      <c r="D91" s="888"/>
      <c r="E91" s="889"/>
      <c r="F91" s="1028"/>
      <c r="G91" s="1026" t="s">
        <v>1037</v>
      </c>
      <c r="H91" s="915"/>
      <c r="I91" s="915"/>
      <c r="J91" s="916"/>
      <c r="K91" s="1028"/>
      <c r="L91" s="1026" t="s">
        <v>1037</v>
      </c>
      <c r="M91" s="915"/>
      <c r="N91" s="915"/>
      <c r="O91" s="916"/>
    </row>
    <row r="92" spans="2:15" ht="15.75">
      <c r="D92" s="888"/>
      <c r="E92" s="889"/>
      <c r="F92" s="1029" t="str">
        <f>IF(F84=$S$14,$T$9,IF(AND($O$3&lt;&gt;$U$3,ROUNDDOWN(F84,0)=$S$9),$U$9,$T$9))</f>
        <v>　レベル　1</v>
      </c>
      <c r="G92" s="919" t="s">
        <v>2186</v>
      </c>
      <c r="H92" s="920"/>
      <c r="I92" s="919" t="s">
        <v>2187</v>
      </c>
      <c r="J92" s="920"/>
      <c r="K92" s="1029" t="str">
        <f>IF(K84=$S$14,$T$9,IF(AND($O$3&lt;&gt;$U$3,ROUNDDOWN(K84,0)=$S$9),$U$9,$T$9))</f>
        <v>　レベル　1</v>
      </c>
      <c r="L92" s="983" t="s">
        <v>252</v>
      </c>
      <c r="M92" s="3698"/>
      <c r="N92" s="3698"/>
      <c r="O92" s="3684"/>
    </row>
    <row r="93" spans="2:15" ht="15.75">
      <c r="D93" s="888"/>
      <c r="E93" s="889"/>
      <c r="F93" s="922" t="str">
        <f>IF(F84=$S$14,$T$10,IF(AND($O$3&lt;&gt;$U$3,ROUNDDOWN(F84,0)=$S$10),$U$10,$T$10))</f>
        <v>　レベル　2</v>
      </c>
      <c r="G93" s="926" t="s">
        <v>2188</v>
      </c>
      <c r="H93" s="927"/>
      <c r="I93" s="926" t="s">
        <v>2189</v>
      </c>
      <c r="J93" s="927"/>
      <c r="K93" s="922" t="str">
        <f>IF(K84=$S$14,$T$10,IF(AND($O$3&lt;&gt;$U$3,ROUNDDOWN(K84,0)=$S$10),$U$10,$T$10))</f>
        <v>　レベル　2</v>
      </c>
      <c r="L93" s="930" t="s">
        <v>253</v>
      </c>
      <c r="M93" s="3699"/>
      <c r="N93" s="3688"/>
      <c r="O93" s="3683"/>
    </row>
    <row r="94" spans="2:15" ht="15.75">
      <c r="D94" s="888"/>
      <c r="E94" s="889"/>
      <c r="F94" s="922" t="str">
        <f>IF(F84=$S$14,$T$11,IF(AND($O$3&lt;&gt;$U$3,ROUNDDOWN(F84,0)=$S$11),$U$11,$T$11))</f>
        <v>■レベル　3</v>
      </c>
      <c r="G94" s="926" t="s">
        <v>2189</v>
      </c>
      <c r="H94" s="927"/>
      <c r="I94" s="926" t="s">
        <v>2190</v>
      </c>
      <c r="J94" s="927"/>
      <c r="K94" s="922" t="str">
        <f>IF(K84=$S$14,$T$11,IF(AND($O$3&lt;&gt;$U$3,ROUNDDOWN(K84,0)=$S$11),$U$11,$T$11))</f>
        <v>■レベル　3</v>
      </c>
      <c r="L94" s="930" t="s">
        <v>254</v>
      </c>
      <c r="M94" s="3699"/>
      <c r="N94" s="3688"/>
      <c r="O94" s="3683"/>
    </row>
    <row r="95" spans="2:15" ht="15.75">
      <c r="D95" s="888"/>
      <c r="E95" s="889"/>
      <c r="F95" s="922" t="str">
        <f>IF(F84=$S$14,$T$12,IF(AND($O$3&lt;&gt;$U$3,ROUNDDOWN(F84,0)=$S$12),$U$12,$T$12))</f>
        <v>　レベル　4</v>
      </c>
      <c r="G95" s="926" t="s">
        <v>2190</v>
      </c>
      <c r="H95" s="927"/>
      <c r="I95" s="926" t="s">
        <v>1644</v>
      </c>
      <c r="J95" s="927"/>
      <c r="K95" s="922" t="str">
        <f>IF(K84=$S$14,$T$12,IF(AND($O$3&lt;&gt;$U$3,ROUNDDOWN(K84,0)=$S$12),$U$12,$T$12))</f>
        <v>　レベル　4</v>
      </c>
      <c r="L95" s="930" t="s">
        <v>255</v>
      </c>
      <c r="M95" s="3699"/>
      <c r="N95" s="3688"/>
      <c r="O95" s="3683"/>
    </row>
    <row r="96" spans="2:15" ht="15.75">
      <c r="D96" s="888"/>
      <c r="E96" s="889"/>
      <c r="F96" s="933" t="str">
        <f>IF(F84=$S$14,$T$13,IF(AND($O$3&lt;&gt;$U$3,ROUNDDOWN(F84,0)=$S$13),$U$13,$T$13))</f>
        <v>　レベル　5</v>
      </c>
      <c r="G96" s="937" t="s">
        <v>1645</v>
      </c>
      <c r="H96" s="938"/>
      <c r="I96" s="937" t="s">
        <v>1646</v>
      </c>
      <c r="J96" s="938"/>
      <c r="K96" s="933" t="str">
        <f>IF(K84=$S$14,$T$13,IF(AND($O$3&lt;&gt;$U$3,ROUNDDOWN(K84,0)=$S$13),$U$13,$T$13))</f>
        <v>　レベル　5</v>
      </c>
      <c r="L96" s="934" t="s">
        <v>1647</v>
      </c>
      <c r="M96" s="3704"/>
      <c r="N96" s="3687"/>
      <c r="O96" s="3681"/>
    </row>
    <row r="97" spans="2:15" ht="15.75">
      <c r="D97" s="888"/>
      <c r="E97" s="889"/>
      <c r="F97" s="889"/>
      <c r="G97" s="975"/>
      <c r="H97" s="975"/>
      <c r="I97" s="975"/>
      <c r="J97" s="975"/>
      <c r="K97" s="975"/>
      <c r="L97" s="975"/>
      <c r="M97" s="975"/>
      <c r="N97" s="975"/>
      <c r="O97" s="975"/>
    </row>
    <row r="98" spans="2:15" ht="15.75">
      <c r="D98" s="885"/>
      <c r="E98" s="886"/>
      <c r="F98" s="899" t="s">
        <v>256</v>
      </c>
      <c r="G98" s="976"/>
      <c r="H98" s="1025"/>
      <c r="I98" s="1005"/>
      <c r="J98" s="979" t="str">
        <f>IF(OR(F100=0,AND(J99=0,O99=0)),$R$3,"")</f>
        <v/>
      </c>
      <c r="K98" s="975"/>
      <c r="L98" s="976"/>
      <c r="M98" s="1025"/>
      <c r="N98" s="1005"/>
      <c r="O98" s="1005"/>
    </row>
    <row r="99" spans="2:15" ht="16.5" thickBot="1">
      <c r="D99" s="888"/>
      <c r="E99" s="1038"/>
      <c r="F99" s="903" t="s">
        <v>257</v>
      </c>
      <c r="G99" s="904"/>
      <c r="H99" s="905"/>
      <c r="I99" s="906" t="s">
        <v>1121</v>
      </c>
      <c r="J99" s="909">
        <f>重み!M17</f>
        <v>0</v>
      </c>
      <c r="K99" s="903" t="s">
        <v>1611</v>
      </c>
      <c r="L99" s="904"/>
      <c r="M99" s="905"/>
      <c r="N99" s="906" t="s">
        <v>1121</v>
      </c>
      <c r="O99" s="909">
        <f>重み!N17</f>
        <v>3.1496062992125984E-3</v>
      </c>
    </row>
    <row r="100" spans="2:15" ht="16.5" thickBot="1">
      <c r="D100" s="888"/>
      <c r="E100" s="1038"/>
      <c r="F100" s="910">
        <v>3</v>
      </c>
      <c r="G100" s="1026" t="s">
        <v>1648</v>
      </c>
      <c r="H100" s="915"/>
      <c r="I100" s="915"/>
      <c r="J100" s="916"/>
      <c r="K100" s="910">
        <v>3</v>
      </c>
      <c r="L100" s="1026" t="s">
        <v>258</v>
      </c>
      <c r="M100" s="915"/>
      <c r="N100" s="915"/>
      <c r="O100" s="916"/>
    </row>
    <row r="101" spans="2:15" ht="15.75" hidden="1">
      <c r="B101" s="1">
        <v>1</v>
      </c>
      <c r="C101" s="1">
        <v>1</v>
      </c>
      <c r="D101" s="888"/>
      <c r="E101" s="1038"/>
      <c r="F101" s="1027"/>
      <c r="G101" s="1026" t="s">
        <v>1038</v>
      </c>
      <c r="H101" s="915"/>
      <c r="I101" s="915"/>
      <c r="J101" s="916"/>
      <c r="K101" s="1027"/>
      <c r="L101" s="1026" t="s">
        <v>1038</v>
      </c>
      <c r="M101" s="915"/>
      <c r="N101" s="915"/>
      <c r="O101" s="916"/>
    </row>
    <row r="102" spans="2:15" ht="15.75" hidden="1">
      <c r="B102" s="1">
        <v>2</v>
      </c>
      <c r="C102" s="1">
        <v>2</v>
      </c>
      <c r="D102" s="888"/>
      <c r="E102" s="1039"/>
      <c r="F102" s="922" t="str">
        <f>IF(F100=$S$14,$T$9,IF(AND($O$3=$U$3,ROUNDDOWN(F100,0)=$S$9),$U$9,$T$9))</f>
        <v>　レベル　1</v>
      </c>
      <c r="G102" s="919" t="s">
        <v>2565</v>
      </c>
      <c r="H102" s="920"/>
      <c r="I102" s="920"/>
      <c r="J102" s="921"/>
      <c r="K102" s="922" t="str">
        <f>IF(K100=$S$14,$T$9,IF(AND($O$3=$U$3,ROUNDDOWN(K100,0)=$S$9),$U$9,$T$9))</f>
        <v>　レベル　1</v>
      </c>
      <c r="L102" s="919" t="s">
        <v>2566</v>
      </c>
      <c r="M102" s="920"/>
      <c r="N102" s="920"/>
      <c r="O102" s="921"/>
    </row>
    <row r="103" spans="2:15" ht="15.75" hidden="1">
      <c r="B103" s="1">
        <v>3</v>
      </c>
      <c r="C103" s="1">
        <v>3</v>
      </c>
      <c r="D103" s="888"/>
      <c r="E103" s="1039"/>
      <c r="F103" s="922" t="str">
        <f>IF(F100=$S$14,$T$10,IF(AND($O$3=$U$3,ROUNDDOWN(F100,0)=$S$10),$U$10,$T$10))</f>
        <v>　レベル　2</v>
      </c>
      <c r="G103" s="926"/>
      <c r="H103" s="927"/>
      <c r="I103" s="927"/>
      <c r="J103" s="928"/>
      <c r="K103" s="922" t="str">
        <f>IF(K100=$S$14,$T$10,IF(AND($O$3=$U$3,ROUNDDOWN(K100,0)=$S$10),$U$10,$T$10))</f>
        <v>　レベル　2</v>
      </c>
      <c r="L103" s="926"/>
      <c r="M103" s="927"/>
      <c r="N103" s="927"/>
      <c r="O103" s="928"/>
    </row>
    <row r="104" spans="2:15" ht="15.75" hidden="1">
      <c r="B104" s="1">
        <v>4</v>
      </c>
      <c r="C104" s="1">
        <v>4</v>
      </c>
      <c r="D104" s="888"/>
      <c r="E104" s="1039"/>
      <c r="F104" s="922" t="str">
        <f>IF(F100=$S$14,$T$11,IF(AND($O$3=$U$3,ROUNDDOWN(F100,0)=$S$11),$U$11,$T$11))</f>
        <v>　レベル　3</v>
      </c>
      <c r="G104" s="926" t="s">
        <v>2566</v>
      </c>
      <c r="H104" s="927"/>
      <c r="I104" s="927"/>
      <c r="J104" s="928"/>
      <c r="K104" s="922" t="str">
        <f>IF(K100=$S$14,$T$11,IF(AND($O$3=$U$3,ROUNDDOWN(K100,0)=$S$11),$U$11,$T$11))</f>
        <v>　レベル　3</v>
      </c>
      <c r="L104" s="926" t="s">
        <v>2567</v>
      </c>
      <c r="M104" s="927"/>
      <c r="N104" s="927"/>
      <c r="O104" s="928"/>
    </row>
    <row r="105" spans="2:15" ht="15.75" hidden="1">
      <c r="B105" s="1">
        <v>5</v>
      </c>
      <c r="C105" s="1">
        <v>5</v>
      </c>
      <c r="D105" s="888"/>
      <c r="E105" s="1039"/>
      <c r="F105" s="922" t="str">
        <f>IF(F100=$S$14,$T$12,IF(AND($O$3=$U$3,ROUNDDOWN(F100,0)=$S$12),$U$12,$T$12))</f>
        <v>　レベル　4</v>
      </c>
      <c r="G105" s="926"/>
      <c r="H105" s="927"/>
      <c r="I105" s="927"/>
      <c r="J105" s="928"/>
      <c r="K105" s="922" t="str">
        <f>IF(K100=$S$14,$T$12,IF(AND($O$3=$U$3,ROUNDDOWN(K100,0)=$S$12),$U$12,$T$12))</f>
        <v>　レベル　4</v>
      </c>
      <c r="L105" s="926"/>
      <c r="M105" s="927"/>
      <c r="N105" s="927"/>
      <c r="O105" s="928"/>
    </row>
    <row r="106" spans="2:15" ht="15.75" hidden="1">
      <c r="B106" s="940">
        <v>0</v>
      </c>
      <c r="C106" s="940">
        <v>0</v>
      </c>
      <c r="D106" s="888"/>
      <c r="E106" s="1039"/>
      <c r="F106" s="933" t="str">
        <f>IF(F100=$S$14,$T$13,IF(AND($O$3=$U$3,ROUNDDOWN(F100,0)=$S$13),$U$13,$T$13))</f>
        <v>　レベル　5</v>
      </c>
      <c r="G106" s="937" t="s">
        <v>2568</v>
      </c>
      <c r="H106" s="938"/>
      <c r="I106" s="938"/>
      <c r="J106" s="939"/>
      <c r="K106" s="933" t="str">
        <f>IF(K100=$S$14,$T$13,IF(AND($O$3=$U$3,ROUNDDOWN(K100,0)=$S$13),$U$13,$T$13))</f>
        <v>　レベル　5</v>
      </c>
      <c r="L106" s="937" t="s">
        <v>2569</v>
      </c>
      <c r="M106" s="938"/>
      <c r="N106" s="938"/>
      <c r="O106" s="939"/>
    </row>
    <row r="107" spans="2:15" ht="15.75" hidden="1">
      <c r="D107" s="888"/>
      <c r="E107" s="889"/>
      <c r="F107" s="1028"/>
      <c r="G107" s="1026" t="s">
        <v>1037</v>
      </c>
      <c r="H107" s="915"/>
      <c r="I107" s="915"/>
      <c r="J107" s="916"/>
      <c r="K107" s="1028"/>
      <c r="L107" s="1026" t="s">
        <v>1037</v>
      </c>
      <c r="M107" s="915"/>
      <c r="N107" s="915"/>
      <c r="O107" s="916"/>
    </row>
    <row r="108" spans="2:15" ht="15.75" hidden="1">
      <c r="D108" s="888"/>
      <c r="E108" s="889"/>
      <c r="F108" s="1029" t="str">
        <f>IF(F100=$S$14,$T$9,IF(AND($O$3&lt;&gt;$U$3,ROUNDDOWN(F100,0)=$S$9),$U$9,$T$9))</f>
        <v>　レベル　1</v>
      </c>
      <c r="G108" s="919" t="s">
        <v>512</v>
      </c>
      <c r="H108" s="920"/>
      <c r="I108" s="920"/>
      <c r="J108" s="921"/>
      <c r="K108" s="1029" t="str">
        <f>IF(K100=$S$14,$T$9,IF(AND($O$3&lt;&gt;$U$3,ROUNDDOWN(K100,0)=$S$9),$U$9,$T$9))</f>
        <v>　レベル　1</v>
      </c>
      <c r="L108" s="919" t="s">
        <v>513</v>
      </c>
      <c r="M108" s="920"/>
      <c r="N108" s="920"/>
      <c r="O108" s="921"/>
    </row>
    <row r="109" spans="2:15" ht="15.75">
      <c r="D109" s="888"/>
      <c r="E109" s="889"/>
      <c r="F109" s="922" t="str">
        <f>IF(F100=$S$14,$T$10,IF(AND($O$3&lt;&gt;$U$3,ROUNDDOWN(F100,0)=$S$10),$U$10,$T$10))</f>
        <v>　レベル　2</v>
      </c>
      <c r="G109" s="926" t="s">
        <v>514</v>
      </c>
      <c r="H109" s="927"/>
      <c r="I109" s="927"/>
      <c r="J109" s="928"/>
      <c r="K109" s="922" t="str">
        <f>IF(K100=$S$14,$T$10,IF(AND($O$3&lt;&gt;$U$3,ROUNDDOWN(K100,0)=$S$10),$U$10,$T$10))</f>
        <v>　レベル　2</v>
      </c>
      <c r="L109" s="926" t="s">
        <v>1544</v>
      </c>
      <c r="M109" s="927"/>
      <c r="N109" s="927"/>
      <c r="O109" s="928"/>
    </row>
    <row r="110" spans="2:15" ht="15.75">
      <c r="D110" s="888"/>
      <c r="E110" s="889"/>
      <c r="F110" s="922" t="str">
        <f>IF(F100=$S$14,$T$11,IF(AND($O$3&lt;&gt;$U$3,ROUNDDOWN(F100,0)=$S$11),$U$11,$T$11))</f>
        <v>■レベル　3</v>
      </c>
      <c r="G110" s="926" t="s">
        <v>1545</v>
      </c>
      <c r="H110" s="927"/>
      <c r="I110" s="927"/>
      <c r="J110" s="928"/>
      <c r="K110" s="922" t="str">
        <f>IF(K100=$S$14,$T$11,IF(AND($O$3&lt;&gt;$U$3,ROUNDDOWN(K100,0)=$S$11),$U$11,$T$11))</f>
        <v>■レベル　3</v>
      </c>
      <c r="L110" s="926" t="s">
        <v>1546</v>
      </c>
      <c r="M110" s="927"/>
      <c r="N110" s="927"/>
      <c r="O110" s="928"/>
    </row>
    <row r="111" spans="2:15" ht="15.75">
      <c r="D111" s="888"/>
      <c r="E111" s="889"/>
      <c r="F111" s="922" t="str">
        <f>IF(F100=$S$14,$T$12,IF(AND($O$3&lt;&gt;$U$3,ROUNDDOWN(F100,0)=$S$12),$U$12,$T$12))</f>
        <v>　レベル　4</v>
      </c>
      <c r="G111" s="926" t="s">
        <v>1544</v>
      </c>
      <c r="H111" s="927"/>
      <c r="I111" s="927"/>
      <c r="J111" s="928"/>
      <c r="K111" s="922" t="str">
        <f>IF(K100=$S$14,$T$12,IF(AND($O$3&lt;&gt;$U$3,ROUNDDOWN(K100,0)=$S$12),$U$12,$T$12))</f>
        <v>　レベル　4</v>
      </c>
      <c r="L111" s="926" t="s">
        <v>1547</v>
      </c>
      <c r="M111" s="927"/>
      <c r="N111" s="927"/>
      <c r="O111" s="928"/>
    </row>
    <row r="112" spans="2:15" ht="15.75">
      <c r="D112" s="888"/>
      <c r="E112" s="889"/>
      <c r="F112" s="933" t="str">
        <f>IF(F100=$S$14,$T$13,IF(AND($O$3&lt;&gt;$U$3,ROUNDDOWN(F100,0)=$S$13),$U$13,$T$13))</f>
        <v>　レベル　5</v>
      </c>
      <c r="G112" s="937" t="s">
        <v>1548</v>
      </c>
      <c r="H112" s="938"/>
      <c r="I112" s="938"/>
      <c r="J112" s="939"/>
      <c r="K112" s="933" t="str">
        <f>IF(K100=$S$14,$T$13,IF(AND($O$3&lt;&gt;$U$3,ROUNDDOWN(K100,0)=$S$13),$U$13,$T$13))</f>
        <v>　レベル　5</v>
      </c>
      <c r="L112" s="937" t="s">
        <v>1834</v>
      </c>
      <c r="M112" s="938"/>
      <c r="N112" s="938"/>
      <c r="O112" s="939"/>
    </row>
    <row r="113" spans="2:15" ht="15.75">
      <c r="D113" s="888"/>
      <c r="E113" s="889"/>
      <c r="F113" s="889"/>
      <c r="G113" s="975"/>
      <c r="H113" s="975"/>
      <c r="I113" s="975"/>
      <c r="J113" s="975"/>
      <c r="K113" s="975"/>
      <c r="L113" s="1030"/>
      <c r="M113" s="1030"/>
      <c r="N113" s="1030"/>
      <c r="O113" s="1030"/>
    </row>
    <row r="114" spans="2:15" ht="15.75">
      <c r="D114" s="2308"/>
      <c r="E114" s="893"/>
      <c r="F114" s="899" t="s">
        <v>1835</v>
      </c>
      <c r="G114" s="976"/>
      <c r="H114" s="1025"/>
      <c r="I114" s="1005"/>
      <c r="J114" s="979" t="str">
        <f>IF(OR(F116=0,AND(J115=0,O115=0)),$R$3,"")</f>
        <v/>
      </c>
      <c r="K114" s="975"/>
      <c r="L114" s="976"/>
      <c r="M114" s="1025"/>
      <c r="N114" s="1005"/>
      <c r="O114" s="1005"/>
    </row>
    <row r="115" spans="2:15" ht="16.5" thickBot="1">
      <c r="D115" s="888"/>
      <c r="E115" s="889"/>
      <c r="F115" s="903" t="s">
        <v>1519</v>
      </c>
      <c r="G115" s="904"/>
      <c r="H115" s="905"/>
      <c r="I115" s="906" t="s">
        <v>1121</v>
      </c>
      <c r="J115" s="909">
        <f>重み!M18</f>
        <v>0</v>
      </c>
      <c r="K115" s="903" t="s">
        <v>1611</v>
      </c>
      <c r="L115" s="904"/>
      <c r="M115" s="905"/>
      <c r="N115" s="906" t="s">
        <v>1121</v>
      </c>
      <c r="O115" s="909">
        <f>重み!N18</f>
        <v>3.1496062992125984E-3</v>
      </c>
    </row>
    <row r="116" spans="2:15" ht="16.5" thickBot="1">
      <c r="D116" s="888"/>
      <c r="E116" s="889"/>
      <c r="F116" s="910">
        <v>3</v>
      </c>
      <c r="G116" s="1026" t="s">
        <v>1648</v>
      </c>
      <c r="H116" s="915"/>
      <c r="I116" s="915"/>
      <c r="J116" s="916"/>
      <c r="K116" s="910">
        <v>3</v>
      </c>
      <c r="L116" s="1026" t="s">
        <v>258</v>
      </c>
      <c r="M116" s="915"/>
      <c r="N116" s="915"/>
      <c r="O116" s="916"/>
    </row>
    <row r="117" spans="2:15" ht="15.75" hidden="1">
      <c r="B117" s="1">
        <v>1</v>
      </c>
      <c r="C117" s="1">
        <v>1</v>
      </c>
      <c r="D117" s="888"/>
      <c r="E117" s="889"/>
      <c r="F117" s="1027"/>
      <c r="G117" s="1026" t="s">
        <v>1038</v>
      </c>
      <c r="H117" s="915"/>
      <c r="I117" s="915"/>
      <c r="J117" s="916"/>
      <c r="K117" s="1027"/>
      <c r="L117" s="1026" t="s">
        <v>1038</v>
      </c>
      <c r="M117" s="915"/>
      <c r="N117" s="915"/>
      <c r="O117" s="916"/>
    </row>
    <row r="118" spans="2:15" ht="15.75" hidden="1">
      <c r="B118" s="1">
        <v>2</v>
      </c>
      <c r="C118" s="1">
        <v>2</v>
      </c>
      <c r="D118" s="888"/>
      <c r="E118" s="889"/>
      <c r="F118" s="922" t="str">
        <f>IF(F116=$S$14,$T$9,IF(AND($O$3=$U$3,ROUNDDOWN(F116,0)=$S$9),$U$9,$T$9))</f>
        <v>　レベル　1</v>
      </c>
      <c r="G118" s="919" t="s">
        <v>1836</v>
      </c>
      <c r="H118" s="920"/>
      <c r="I118" s="920"/>
      <c r="J118" s="921"/>
      <c r="K118" s="922" t="str">
        <f>IF(K116=$S$14,$T$9,IF(AND($O$3=$U$3,ROUNDDOWN(K116,0)=$S$9),$U$9,$T$9))</f>
        <v>　レベル　1</v>
      </c>
      <c r="L118" s="919" t="s">
        <v>1837</v>
      </c>
      <c r="M118" s="920"/>
      <c r="N118" s="920"/>
      <c r="O118" s="921"/>
    </row>
    <row r="119" spans="2:15" ht="15.75" hidden="1">
      <c r="B119" s="1">
        <v>3</v>
      </c>
      <c r="C119" s="1">
        <v>3</v>
      </c>
      <c r="D119" s="888"/>
      <c r="E119" s="889"/>
      <c r="F119" s="922" t="str">
        <f>IF(F116=$S$14,$T$10,IF(AND($O$3=$U$3,ROUNDDOWN(F116,0)=$S$10),$U$10,$T$10))</f>
        <v>　レベル　2</v>
      </c>
      <c r="G119" s="926"/>
      <c r="H119" s="927"/>
      <c r="I119" s="927"/>
      <c r="J119" s="928"/>
      <c r="K119" s="922" t="str">
        <f>IF(K116=$S$14,$T$10,IF(AND($O$3=$U$3,ROUNDDOWN(K116,0)=$S$10),$U$10,$T$10))</f>
        <v>　レベル　2</v>
      </c>
      <c r="L119" s="926"/>
      <c r="M119" s="927"/>
      <c r="N119" s="927"/>
      <c r="O119" s="928"/>
    </row>
    <row r="120" spans="2:15" ht="15.75" hidden="1">
      <c r="B120" s="1">
        <v>4</v>
      </c>
      <c r="C120" s="1">
        <v>4</v>
      </c>
      <c r="D120" s="888"/>
      <c r="E120" s="889"/>
      <c r="F120" s="922" t="str">
        <f>IF(F116=$S$14,$T$11,IF(AND($O$3=$U$3,ROUNDDOWN(F116,0)=$S$11),$U$11,$T$11))</f>
        <v>　レベル　3</v>
      </c>
      <c r="G120" s="926" t="s">
        <v>1838</v>
      </c>
      <c r="H120" s="927"/>
      <c r="I120" s="927"/>
      <c r="J120" s="928"/>
      <c r="K120" s="922" t="str">
        <f>IF(K116=$S$14,$T$11,IF(AND($O$3=$U$3,ROUNDDOWN(K116,0)=$S$11),$U$11,$T$11))</f>
        <v>　レベル　3</v>
      </c>
      <c r="L120" s="926" t="s">
        <v>1839</v>
      </c>
      <c r="M120" s="927"/>
      <c r="N120" s="927"/>
      <c r="O120" s="928"/>
    </row>
    <row r="121" spans="2:15" ht="15.75" hidden="1">
      <c r="B121" s="1">
        <v>5</v>
      </c>
      <c r="C121" s="1">
        <v>5</v>
      </c>
      <c r="D121" s="888"/>
      <c r="E121" s="889"/>
      <c r="F121" s="922" t="str">
        <f>IF(F116=$S$14,$T$12,IF(AND($O$3=$U$3,ROUNDDOWN(F116,0)=$S$12),$U$12,$T$12))</f>
        <v>　レベル　4</v>
      </c>
      <c r="G121" s="926"/>
      <c r="H121" s="927"/>
      <c r="I121" s="927"/>
      <c r="J121" s="928"/>
      <c r="K121" s="922" t="str">
        <f>IF(K116=$S$14,$T$12,IF(AND($O$3=$U$3,ROUNDDOWN(K116,0)=$S$12),$U$12,$T$12))</f>
        <v>　レベル　4</v>
      </c>
      <c r="L121" s="926"/>
      <c r="M121" s="927"/>
      <c r="N121" s="927"/>
      <c r="O121" s="928"/>
    </row>
    <row r="122" spans="2:15" ht="15.75" hidden="1">
      <c r="B122" s="940">
        <v>0</v>
      </c>
      <c r="C122" s="940">
        <v>0</v>
      </c>
      <c r="D122" s="888"/>
      <c r="E122" s="889"/>
      <c r="F122" s="933" t="str">
        <f>IF(F116=$S$14,$T$13,IF(AND($O$3=$U$3,ROUNDDOWN(F116,0)=$S$13),$U$13,$T$13))</f>
        <v>　レベル　5</v>
      </c>
      <c r="G122" s="937" t="s">
        <v>1840</v>
      </c>
      <c r="H122" s="938"/>
      <c r="I122" s="938"/>
      <c r="J122" s="939"/>
      <c r="K122" s="933" t="str">
        <f>IF(K116=$S$14,$T$13,IF(AND($O$3=$U$3,ROUNDDOWN(K116,0)=$S$13),$U$13,$T$13))</f>
        <v>　レベル　5</v>
      </c>
      <c r="L122" s="937" t="s">
        <v>1841</v>
      </c>
      <c r="M122" s="938"/>
      <c r="N122" s="938"/>
      <c r="O122" s="939"/>
    </row>
    <row r="123" spans="2:15" ht="15.75" hidden="1">
      <c r="D123" s="888"/>
      <c r="E123" s="889"/>
      <c r="F123" s="1028"/>
      <c r="G123" s="1026" t="s">
        <v>1037</v>
      </c>
      <c r="H123" s="915"/>
      <c r="I123" s="915"/>
      <c r="J123" s="916"/>
      <c r="K123" s="1028"/>
      <c r="L123" s="1026" t="s">
        <v>1037</v>
      </c>
      <c r="M123" s="915"/>
      <c r="N123" s="915"/>
      <c r="O123" s="916"/>
    </row>
    <row r="124" spans="2:15" ht="15.75" hidden="1">
      <c r="D124" s="888"/>
      <c r="E124" s="889"/>
      <c r="F124" s="1029" t="str">
        <f>IF(F116=$S$14,$T$9,IF(AND($O$3&lt;&gt;$U$3,ROUNDDOWN(F116,0)=$S$9),$U$9,$T$9))</f>
        <v>　レベル　1</v>
      </c>
      <c r="G124" s="919" t="s">
        <v>512</v>
      </c>
      <c r="H124" s="920"/>
      <c r="I124" s="920"/>
      <c r="J124" s="921"/>
      <c r="K124" s="1029" t="str">
        <f>IF(K116=$S$14,$T$9,IF(AND($O$3&lt;&gt;$U$3,ROUNDDOWN(K116,0)=$S$9),$U$9,$T$9))</f>
        <v>　レベル　1</v>
      </c>
      <c r="L124" s="919" t="s">
        <v>1842</v>
      </c>
      <c r="M124" s="920"/>
      <c r="N124" s="920"/>
      <c r="O124" s="921"/>
    </row>
    <row r="125" spans="2:15" ht="15.75">
      <c r="D125" s="888"/>
      <c r="E125" s="889"/>
      <c r="F125" s="922" t="str">
        <f>IF(F116=$S$14,$T$10,IF(AND($O$3&lt;&gt;$U$3,ROUNDDOWN(F116,0)=$S$10),$U$10,$T$10))</f>
        <v>　レベル　2</v>
      </c>
      <c r="G125" s="926" t="s">
        <v>514</v>
      </c>
      <c r="H125" s="927"/>
      <c r="I125" s="927"/>
      <c r="J125" s="928"/>
      <c r="K125" s="922" t="str">
        <f>IF(K116=$S$14,$T$10,IF(AND($O$3&lt;&gt;$U$3,ROUNDDOWN(K116,0)=$S$10),$U$10,$T$10))</f>
        <v>　レベル　2</v>
      </c>
      <c r="L125" s="926" t="s">
        <v>1545</v>
      </c>
      <c r="M125" s="927"/>
      <c r="N125" s="927"/>
      <c r="O125" s="928"/>
    </row>
    <row r="126" spans="2:15" ht="15.75">
      <c r="D126" s="888"/>
      <c r="E126" s="889"/>
      <c r="F126" s="922" t="str">
        <f>IF(F116=$S$14,$T$11,IF(AND($O$3&lt;&gt;$U$3,ROUNDDOWN(F116,0)=$S$11),$U$11,$T$11))</f>
        <v>■レベル　3</v>
      </c>
      <c r="G126" s="926" t="s">
        <v>1545</v>
      </c>
      <c r="H126" s="927"/>
      <c r="I126" s="927"/>
      <c r="J126" s="928"/>
      <c r="K126" s="922" t="str">
        <f>IF(K116=$S$14,$T$11,IF(AND($O$3&lt;&gt;$U$3,ROUNDDOWN(K116,0)=$S$11),$U$11,$T$11))</f>
        <v>■レベル　3</v>
      </c>
      <c r="L126" s="926" t="s">
        <v>1544</v>
      </c>
      <c r="M126" s="927"/>
      <c r="N126" s="927"/>
      <c r="O126" s="928"/>
    </row>
    <row r="127" spans="2:15" ht="15.75">
      <c r="D127" s="888"/>
      <c r="E127" s="889"/>
      <c r="F127" s="922" t="str">
        <f>IF(F116=$S$14,$T$12,IF(AND($O$3&lt;&gt;$U$3,ROUNDDOWN(F116,0)=$S$12),$U$12,$T$12))</f>
        <v>　レベル　4</v>
      </c>
      <c r="G127" s="926" t="s">
        <v>1544</v>
      </c>
      <c r="H127" s="927"/>
      <c r="I127" s="927"/>
      <c r="J127" s="928"/>
      <c r="K127" s="922" t="str">
        <f>IF(K116=$S$14,$T$12,IF(AND($O$3&lt;&gt;$U$3,ROUNDDOWN(K116,0)=$S$12),$U$12,$T$12))</f>
        <v>　レベル　4</v>
      </c>
      <c r="L127" s="926" t="s">
        <v>1546</v>
      </c>
      <c r="M127" s="927"/>
      <c r="N127" s="927"/>
      <c r="O127" s="928"/>
    </row>
    <row r="128" spans="2:15" ht="15.75">
      <c r="D128" s="888"/>
      <c r="E128" s="889"/>
      <c r="F128" s="933" t="str">
        <f>IF(F116=$S$14,$T$13,IF(AND($O$3&lt;&gt;$U$3,ROUNDDOWN(F116,0)=$S$13),$U$13,$T$13))</f>
        <v>　レベル　5</v>
      </c>
      <c r="G128" s="937" t="s">
        <v>1548</v>
      </c>
      <c r="H128" s="938"/>
      <c r="I128" s="938"/>
      <c r="J128" s="939"/>
      <c r="K128" s="933" t="str">
        <f>IF(K116=$S$14,$T$13,IF(AND($O$3&lt;&gt;$U$3,ROUNDDOWN(K116,0)=$S$13),$U$13,$T$13))</f>
        <v>　レベル　5</v>
      </c>
      <c r="L128" s="937" t="s">
        <v>1843</v>
      </c>
      <c r="M128" s="938"/>
      <c r="N128" s="938"/>
      <c r="O128" s="939"/>
    </row>
    <row r="129" spans="2:15" ht="15.75">
      <c r="D129" s="888"/>
      <c r="E129" s="889"/>
      <c r="F129" s="889"/>
      <c r="G129" s="1040"/>
      <c r="H129" s="975"/>
      <c r="I129" s="975"/>
      <c r="J129" s="975"/>
      <c r="K129" s="975"/>
      <c r="L129" s="1030"/>
      <c r="M129" s="1030"/>
      <c r="N129" s="1030"/>
      <c r="O129" s="1030"/>
    </row>
    <row r="130" spans="2:15" ht="15.75">
      <c r="D130" s="1311">
        <v>1.3</v>
      </c>
      <c r="E130" s="895" t="s">
        <v>1649</v>
      </c>
      <c r="F130" s="899"/>
      <c r="G130" s="976"/>
      <c r="H130" s="1025"/>
      <c r="I130" s="1005"/>
      <c r="J130" s="979" t="str">
        <f>IF(OR(F132=0,AND(J131=0,O131=0)),$R$3,"")</f>
        <v/>
      </c>
      <c r="K130" s="975"/>
      <c r="L130" s="976"/>
      <c r="M130" s="1025"/>
      <c r="N130" s="1005"/>
      <c r="O130" s="1005"/>
    </row>
    <row r="131" spans="2:15" ht="16.5" thickBot="1">
      <c r="D131" s="888"/>
      <c r="E131" s="886"/>
      <c r="F131" s="903" t="s">
        <v>1610</v>
      </c>
      <c r="G131" s="904"/>
      <c r="H131" s="905"/>
      <c r="I131" s="906" t="s">
        <v>1121</v>
      </c>
      <c r="J131" s="909">
        <f>重み!M19</f>
        <v>0.19685039370078741</v>
      </c>
      <c r="K131" s="903" t="s">
        <v>1611</v>
      </c>
      <c r="L131" s="904"/>
      <c r="M131" s="905"/>
      <c r="N131" s="906" t="s">
        <v>1121</v>
      </c>
      <c r="O131" s="909">
        <f>重み!N19</f>
        <v>0</v>
      </c>
    </row>
    <row r="132" spans="2:15" ht="16.5" thickBot="1">
      <c r="D132" s="888"/>
      <c r="E132" s="886"/>
      <c r="F132" s="910">
        <v>3</v>
      </c>
      <c r="G132" s="914" t="s">
        <v>1651</v>
      </c>
      <c r="H132" s="915"/>
      <c r="I132" s="915"/>
      <c r="J132" s="916"/>
      <c r="K132" s="910">
        <v>3</v>
      </c>
      <c r="L132" s="914" t="s">
        <v>1844</v>
      </c>
      <c r="M132" s="915"/>
      <c r="N132" s="915"/>
      <c r="O132" s="916"/>
    </row>
    <row r="133" spans="2:15" ht="15.75">
      <c r="B133" s="1">
        <v>1</v>
      </c>
      <c r="C133" s="1">
        <v>1</v>
      </c>
      <c r="D133" s="888"/>
      <c r="E133" s="886"/>
      <c r="F133" s="917" t="str">
        <f>IF(F132=$S$14,$T$9,IF(ROUNDDOWN(F132,0)=$S$9,$U$9,$T$9))</f>
        <v>　レベル　1</v>
      </c>
      <c r="G133" s="919" t="s">
        <v>1652</v>
      </c>
      <c r="H133" s="920"/>
      <c r="I133" s="920"/>
      <c r="J133" s="921"/>
      <c r="K133" s="917" t="str">
        <f>IF(K132=$S$14,$T$9,IF(ROUNDDOWN(K132,0)=$S$9,$U$9,$T$9))</f>
        <v>　レベル　1</v>
      </c>
      <c r="L133" s="919" t="s">
        <v>1652</v>
      </c>
      <c r="M133" s="920"/>
      <c r="N133" s="920"/>
      <c r="O133" s="921"/>
    </row>
    <row r="134" spans="2:15" ht="15.75">
      <c r="B134" s="1" t="s">
        <v>1787</v>
      </c>
      <c r="C134" s="1" t="s">
        <v>1787</v>
      </c>
      <c r="D134" s="888"/>
      <c r="E134" s="886"/>
      <c r="F134" s="922" t="str">
        <f>IF(F132=$S$14,$T$10,IF(ROUNDDOWN(F132,0)=$S$10,$U$10,$T$10))</f>
        <v>　レベル　2</v>
      </c>
      <c r="G134" s="926" t="s">
        <v>276</v>
      </c>
      <c r="H134" s="927"/>
      <c r="I134" s="927"/>
      <c r="J134" s="928"/>
      <c r="K134" s="922" t="str">
        <f>IF(K132=$S$14,$T$10,IF(ROUNDDOWN(K132,0)=$S$10,$U$10,$T$10))</f>
        <v>　レベル　2</v>
      </c>
      <c r="L134" s="926" t="s">
        <v>276</v>
      </c>
      <c r="M134" s="927"/>
      <c r="N134" s="927"/>
      <c r="O134" s="928"/>
    </row>
    <row r="135" spans="2:15" ht="15.75">
      <c r="B135" s="1">
        <v>3</v>
      </c>
      <c r="C135" s="1">
        <v>3</v>
      </c>
      <c r="D135" s="888"/>
      <c r="E135" s="886"/>
      <c r="F135" s="922" t="str">
        <f>IF(F132=$S$14,$T$11,IF(ROUNDDOWN(F132,0)=$S$11,$U$11,$T$11))</f>
        <v>■レベル　3</v>
      </c>
      <c r="G135" s="926" t="s">
        <v>2570</v>
      </c>
      <c r="H135" s="927"/>
      <c r="I135" s="927"/>
      <c r="J135" s="928"/>
      <c r="K135" s="922" t="str">
        <f>IF(K132=$S$14,$T$11,IF(ROUNDDOWN(K132,0)=$S$11,$U$11,$T$11))</f>
        <v>■レベル　3</v>
      </c>
      <c r="L135" s="926" t="s">
        <v>2570</v>
      </c>
      <c r="M135" s="927"/>
      <c r="N135" s="927"/>
      <c r="O135" s="928"/>
    </row>
    <row r="136" spans="2:15" ht="15.75">
      <c r="B136" s="1">
        <v>4</v>
      </c>
      <c r="C136" s="1">
        <v>4</v>
      </c>
      <c r="D136" s="888"/>
      <c r="E136" s="886"/>
      <c r="F136" s="922" t="str">
        <f>IF(F132=$S$14,$T$12,IF(ROUNDDOWN(F132,0)=$S$12,$U$12,$T$12))</f>
        <v>　レベル　4</v>
      </c>
      <c r="G136" s="926" t="s">
        <v>2571</v>
      </c>
      <c r="H136" s="927"/>
      <c r="I136" s="927"/>
      <c r="J136" s="928"/>
      <c r="K136" s="922" t="str">
        <f>IF(K132=$S$14,$T$12,IF(ROUNDDOWN(K132,0)=$S$12,$U$12,$T$12))</f>
        <v>　レベル　4</v>
      </c>
      <c r="L136" s="926" t="s">
        <v>2571</v>
      </c>
      <c r="M136" s="927"/>
      <c r="N136" s="927"/>
      <c r="O136" s="928"/>
    </row>
    <row r="137" spans="2:15" ht="15.75">
      <c r="B137" s="1">
        <v>5</v>
      </c>
      <c r="C137" s="1">
        <v>5</v>
      </c>
      <c r="D137" s="888"/>
      <c r="E137" s="886"/>
      <c r="F137" s="933" t="str">
        <f>IF(F132=$S$14,$T$13,IF(ROUNDDOWN(F132,0)=$S$13,$U$13,$T$13))</f>
        <v>　レベル　5</v>
      </c>
      <c r="G137" s="937" t="s">
        <v>2572</v>
      </c>
      <c r="H137" s="938"/>
      <c r="I137" s="938"/>
      <c r="J137" s="939"/>
      <c r="K137" s="933" t="str">
        <f>IF(K132=$S$14,$T$13,IF(ROUNDDOWN(K132,0)=$S$13,$U$13,$T$13))</f>
        <v>　レベル　5</v>
      </c>
      <c r="L137" s="937" t="s">
        <v>2572</v>
      </c>
      <c r="M137" s="938"/>
      <c r="N137" s="938"/>
      <c r="O137" s="939"/>
    </row>
    <row r="138" spans="2:15" ht="15.75">
      <c r="B138" s="940">
        <v>0</v>
      </c>
      <c r="C138" s="940">
        <v>0</v>
      </c>
      <c r="D138" s="888"/>
      <c r="E138" s="889"/>
      <c r="F138" s="1041"/>
      <c r="G138" s="1042"/>
      <c r="H138" s="1042"/>
      <c r="I138" s="1042"/>
      <c r="J138" s="1042"/>
      <c r="K138" s="1042"/>
      <c r="L138" s="975"/>
      <c r="M138" s="975"/>
      <c r="N138" s="975"/>
      <c r="O138" s="1043"/>
    </row>
    <row r="139" spans="2:15" ht="15.75">
      <c r="D139" s="1311">
        <v>2</v>
      </c>
      <c r="E139" s="1022" t="s">
        <v>1653</v>
      </c>
      <c r="F139" s="896"/>
      <c r="G139" s="1024"/>
      <c r="H139" s="1024"/>
      <c r="I139" s="1024"/>
      <c r="J139" s="1024"/>
      <c r="K139" s="1024"/>
      <c r="L139" s="1024"/>
      <c r="M139" s="1024"/>
      <c r="N139" s="1024"/>
      <c r="O139" s="1024"/>
    </row>
    <row r="140" spans="2:15" ht="15.75">
      <c r="D140" s="1311">
        <v>2.1</v>
      </c>
      <c r="E140" s="1022" t="s">
        <v>1654</v>
      </c>
      <c r="F140" s="896"/>
      <c r="G140" s="1023"/>
      <c r="H140" s="1023"/>
      <c r="I140" s="1024"/>
      <c r="J140" s="1024"/>
      <c r="K140" s="1024"/>
      <c r="L140" s="1024"/>
      <c r="M140" s="1023"/>
      <c r="N140" s="1024"/>
      <c r="O140" s="1024"/>
    </row>
    <row r="141" spans="2:15" ht="15.75">
      <c r="D141" s="888"/>
      <c r="E141" s="893"/>
      <c r="F141" s="1044" t="s">
        <v>736</v>
      </c>
      <c r="G141" s="976"/>
      <c r="H141" s="976"/>
      <c r="I141" s="1025"/>
      <c r="J141" s="979" t="str">
        <f>IF(OR(F143=0,AND(J142=0,O142=0)),$R$3,"")</f>
        <v/>
      </c>
      <c r="K141" s="1005"/>
      <c r="L141" s="1005"/>
      <c r="M141" s="975"/>
      <c r="N141" s="1005"/>
      <c r="O141" s="1005"/>
    </row>
    <row r="142" spans="2:15" ht="16.5" thickBot="1">
      <c r="D142" s="888"/>
      <c r="E142" s="893"/>
      <c r="F142" s="1045" t="s">
        <v>1845</v>
      </c>
      <c r="G142" s="1046"/>
      <c r="H142" s="1047"/>
      <c r="I142" s="906" t="s">
        <v>1121</v>
      </c>
      <c r="J142" s="904">
        <f>重み!M22</f>
        <v>0.37893700787401569</v>
      </c>
      <c r="K142" s="1046"/>
      <c r="L142" s="1048"/>
      <c r="M142" s="1049" t="s">
        <v>1655</v>
      </c>
      <c r="N142" s="906" t="s">
        <v>1121</v>
      </c>
      <c r="O142" s="908">
        <f>重み!N22</f>
        <v>9.8425196850393699E-3</v>
      </c>
    </row>
    <row r="143" spans="2:15" ht="23.25" thickBot="1">
      <c r="D143" s="888"/>
      <c r="E143" s="893"/>
      <c r="F143" s="910">
        <v>3</v>
      </c>
      <c r="G143" s="3010" t="s">
        <v>3792</v>
      </c>
      <c r="H143" s="1031" t="s">
        <v>1656</v>
      </c>
      <c r="I143" s="1031" t="s">
        <v>1657</v>
      </c>
      <c r="J143" s="1050" t="s">
        <v>1846</v>
      </c>
      <c r="K143" s="1050" t="s">
        <v>1658</v>
      </c>
      <c r="L143" s="3011" t="s">
        <v>3793</v>
      </c>
      <c r="M143" s="910">
        <v>3</v>
      </c>
      <c r="N143" s="1026" t="s">
        <v>2181</v>
      </c>
      <c r="O143" s="1052" t="s">
        <v>1847</v>
      </c>
    </row>
    <row r="144" spans="2:15" ht="15.75" hidden="1">
      <c r="B144" s="1">
        <v>1</v>
      </c>
      <c r="C144" s="1">
        <v>1</v>
      </c>
      <c r="D144" s="888"/>
      <c r="E144" s="893"/>
      <c r="F144" s="1027"/>
      <c r="G144" s="1026" t="s">
        <v>1038</v>
      </c>
      <c r="H144" s="915"/>
      <c r="I144" s="915"/>
      <c r="J144" s="915"/>
      <c r="K144" s="915"/>
      <c r="L144" s="915"/>
      <c r="M144" s="1027"/>
      <c r="N144" s="915" t="s">
        <v>1038</v>
      </c>
      <c r="O144" s="1053"/>
    </row>
    <row r="145" spans="2:15" ht="45" hidden="1" customHeight="1">
      <c r="B145" s="1">
        <v>2</v>
      </c>
      <c r="C145" s="1">
        <v>2</v>
      </c>
      <c r="D145" s="888"/>
      <c r="E145" s="893"/>
      <c r="F145" s="922" t="str">
        <f>IF(F143=$S$14,$T$9,IF(AND($O$3=$U$3,ROUNDDOWN(F143,0)=$S$9),$U$9,$T$9))</f>
        <v>　レベル　1</v>
      </c>
      <c r="G145" s="1054" t="s">
        <v>1659</v>
      </c>
      <c r="H145" s="918" t="s">
        <v>2573</v>
      </c>
      <c r="I145" s="918" t="s">
        <v>2574</v>
      </c>
      <c r="J145" s="918" t="s">
        <v>2575</v>
      </c>
      <c r="K145" s="926" t="s">
        <v>1788</v>
      </c>
      <c r="L145" s="918" t="s">
        <v>2576</v>
      </c>
      <c r="M145" s="922" t="str">
        <f>IF(M143=$S$14,$T$9,IF(AND($O$3=$U$3,ROUNDDOWN(M143,0)=$S$9),$U$9,$T$9))</f>
        <v>　レベル　1</v>
      </c>
      <c r="N145" s="983" t="s">
        <v>2573</v>
      </c>
      <c r="O145" s="1055" t="s">
        <v>2577</v>
      </c>
    </row>
    <row r="146" spans="2:15" ht="33.75" hidden="1" customHeight="1">
      <c r="B146" s="1">
        <v>3</v>
      </c>
      <c r="C146" s="1">
        <v>3</v>
      </c>
      <c r="D146" s="888"/>
      <c r="E146" s="893"/>
      <c r="F146" s="922" t="str">
        <f>IF(F143=$S$14,$T$10,IF(AND($O$3=$U$3,ROUNDDOWN(F143,0)=$S$10),$U$10,$T$10))</f>
        <v>　レベル　2</v>
      </c>
      <c r="G146" s="930" t="s">
        <v>2573</v>
      </c>
      <c r="H146" s="930"/>
      <c r="I146" s="930"/>
      <c r="J146" s="930"/>
      <c r="K146" s="926" t="s">
        <v>1788</v>
      </c>
      <c r="L146" s="930"/>
      <c r="M146" s="922" t="str">
        <f>IF(M143=$S$14,$T$10,IF(AND($O$3=$U$3,ROUNDDOWN(M143,0)=$S$10),$U$10,$T$10))</f>
        <v>　レベル　2</v>
      </c>
      <c r="N146" s="1056"/>
      <c r="O146" s="1057"/>
    </row>
    <row r="147" spans="2:15" ht="45" hidden="1" customHeight="1">
      <c r="B147" s="1">
        <v>4</v>
      </c>
      <c r="C147" s="1">
        <v>4</v>
      </c>
      <c r="D147" s="888"/>
      <c r="E147" s="893"/>
      <c r="F147" s="922" t="str">
        <f>IF(F143=$S$14,$T$11,IF(AND($O$3=$U$3,ROUNDDOWN(F143,0)=$S$11),$U$11,$T$11))</f>
        <v>　レベル　3</v>
      </c>
      <c r="G147" s="925" t="s">
        <v>2578</v>
      </c>
      <c r="H147" s="925" t="s">
        <v>2578</v>
      </c>
      <c r="I147" s="925" t="s">
        <v>2579</v>
      </c>
      <c r="J147" s="929" t="s">
        <v>2580</v>
      </c>
      <c r="K147" s="929" t="s">
        <v>2581</v>
      </c>
      <c r="L147" s="925" t="s">
        <v>2582</v>
      </c>
      <c r="M147" s="922" t="str">
        <f>IF(M143=$S$14,$T$11,IF(AND($O$3=$U$3,ROUNDDOWN(M143,0)=$S$11),$U$11,$T$11))</f>
        <v>　レベル　3</v>
      </c>
      <c r="N147" s="930" t="s">
        <v>2578</v>
      </c>
      <c r="O147" s="931" t="s">
        <v>2583</v>
      </c>
    </row>
    <row r="148" spans="2:15" ht="33.75" hidden="1" customHeight="1">
      <c r="B148" s="1">
        <v>5</v>
      </c>
      <c r="C148" s="1">
        <v>5</v>
      </c>
      <c r="D148" s="888"/>
      <c r="E148" s="893"/>
      <c r="F148" s="922" t="str">
        <f>IF(F143=$S$14,$T$12,IF(AND($O$3=$U$3,ROUNDDOWN(F143,0)=$S$12),$U$12,$T$12))</f>
        <v>　レベル　4</v>
      </c>
      <c r="G148" s="930"/>
      <c r="H148" s="930"/>
      <c r="I148" s="930"/>
      <c r="J148" s="931"/>
      <c r="K148" s="931" t="s">
        <v>2584</v>
      </c>
      <c r="L148" s="930"/>
      <c r="M148" s="922" t="str">
        <f>IF(M143=$S$14,$T$12,IF(AND($O$3=$U$3,ROUNDDOWN(M143,0)=$S$12),$U$12,$T$12))</f>
        <v>　レベル　4</v>
      </c>
      <c r="N148" s="930"/>
      <c r="O148" s="931"/>
    </row>
    <row r="149" spans="2:15" ht="67.5" hidden="1" customHeight="1">
      <c r="B149" s="940">
        <v>0</v>
      </c>
      <c r="C149" s="940">
        <v>0</v>
      </c>
      <c r="D149" s="888"/>
      <c r="E149" s="893"/>
      <c r="F149" s="933" t="str">
        <f>IF(F143=$S$14,$T$13,IF(AND($O$3=$U$3,ROUNDDOWN(F143,0)=$S$13),$U$13,$T$13))</f>
        <v>　レベル　5</v>
      </c>
      <c r="G149" s="3707" t="s">
        <v>2585</v>
      </c>
      <c r="H149" s="3708"/>
      <c r="I149" s="3708"/>
      <c r="J149" s="3709"/>
      <c r="K149" s="935" t="s">
        <v>2586</v>
      </c>
      <c r="L149" s="934" t="s">
        <v>2587</v>
      </c>
      <c r="M149" s="933" t="str">
        <f>IF(M143=$S$14,$T$13,IF(AND($O$3=$U$3,ROUNDDOWN(M143,0)=$S$13),$U$13,$T$13))</f>
        <v>　レベル　5</v>
      </c>
      <c r="N149" s="934" t="s">
        <v>2585</v>
      </c>
      <c r="O149" s="935" t="s">
        <v>2588</v>
      </c>
    </row>
    <row r="150" spans="2:15" ht="15.75" hidden="1">
      <c r="D150" s="888"/>
      <c r="E150" s="893"/>
      <c r="F150" s="1028"/>
      <c r="G150" s="1026" t="s">
        <v>1037</v>
      </c>
      <c r="H150" s="915"/>
      <c r="I150" s="1047"/>
      <c r="J150" s="1047"/>
      <c r="K150" s="1047"/>
      <c r="L150" s="1047"/>
      <c r="M150" s="1028"/>
      <c r="N150" s="1026" t="s">
        <v>1037</v>
      </c>
      <c r="O150" s="1053"/>
    </row>
    <row r="151" spans="2:15" ht="82.5" customHeight="1">
      <c r="D151" s="888"/>
      <c r="E151" s="893"/>
      <c r="F151" s="1029" t="str">
        <f>IF(F143=$S$14,$T$9,IF(AND($O$3&lt;&gt;$U$3,ROUNDDOWN(F143,0)=$S$9),$U$9,$T$9))</f>
        <v>　レベル　1</v>
      </c>
      <c r="G151" s="1054" t="s">
        <v>1659</v>
      </c>
      <c r="H151" s="918" t="s">
        <v>2589</v>
      </c>
      <c r="I151" s="918" t="s">
        <v>2590</v>
      </c>
      <c r="J151" s="918" t="s">
        <v>2591</v>
      </c>
      <c r="K151" s="3371" t="s">
        <v>1788</v>
      </c>
      <c r="L151" s="918" t="s">
        <v>2592</v>
      </c>
      <c r="M151" s="1029" t="str">
        <f>IF(M143=$S$14,$T$9,IF(AND($O$3&lt;&gt;$U$3,ROUNDDOWN(M143,0)=$S$9),$U$9,$T$9))</f>
        <v>　レベル　1</v>
      </c>
      <c r="N151" s="983" t="s">
        <v>2589</v>
      </c>
      <c r="O151" s="1055" t="s">
        <v>2592</v>
      </c>
    </row>
    <row r="152" spans="2:15" ht="82.5" customHeight="1">
      <c r="D152" s="888"/>
      <c r="E152" s="893"/>
      <c r="F152" s="922" t="str">
        <f>IF(F143=$S$14,$T$10,IF(AND($O$3&lt;&gt;$U$3,ROUNDDOWN(F143,0)=$S$10),$U$10,$T$10))</f>
        <v>　レベル　2</v>
      </c>
      <c r="G152" s="930" t="s">
        <v>2589</v>
      </c>
      <c r="H152" s="930"/>
      <c r="I152" s="930"/>
      <c r="J152" s="930"/>
      <c r="K152" s="926" t="s">
        <v>1788</v>
      </c>
      <c r="L152" s="930"/>
      <c r="M152" s="922" t="str">
        <f>IF(M143=$S$14,$T$10,IF(AND($O$3&lt;&gt;$U$3,ROUNDDOWN(M143,0)=$S$10),$U$10,$T$10))</f>
        <v>　レベル　2</v>
      </c>
      <c r="N152" s="1056"/>
      <c r="O152" s="1057"/>
    </row>
    <row r="153" spans="2:15" ht="82.5" customHeight="1">
      <c r="D153" s="888"/>
      <c r="E153" s="893"/>
      <c r="F153" s="922" t="str">
        <f>IF(F143=$S$14,$T$11,IF(AND($O$3&lt;&gt;$U$3,ROUNDDOWN(F143,0)=$S$11),$U$11,$T$11))</f>
        <v>■レベル　3</v>
      </c>
      <c r="G153" s="925" t="s">
        <v>2593</v>
      </c>
      <c r="H153" s="925" t="s">
        <v>2593</v>
      </c>
      <c r="I153" s="925" t="s">
        <v>2594</v>
      </c>
      <c r="J153" s="929" t="s">
        <v>2595</v>
      </c>
      <c r="K153" s="929" t="s">
        <v>2596</v>
      </c>
      <c r="L153" s="925" t="s">
        <v>2597</v>
      </c>
      <c r="M153" s="922" t="str">
        <f>IF(M143=$S$14,$T$11,IF(AND($O$3&lt;&gt;$U$3,ROUNDDOWN(M143,0)=$S$11),$U$11,$T$11))</f>
        <v>■レベル　3</v>
      </c>
      <c r="N153" s="3682" t="s">
        <v>2593</v>
      </c>
      <c r="O153" s="3683"/>
    </row>
    <row r="154" spans="2:15" ht="73.5" customHeight="1">
      <c r="D154" s="888"/>
      <c r="E154" s="893"/>
      <c r="F154" s="922" t="str">
        <f>IF(F143=$S$14,$T$12,IF(AND($O$3&lt;&gt;$U$3,ROUNDDOWN(F143,0)=$S$12),$U$12,$T$12))</f>
        <v>　レベル　4</v>
      </c>
      <c r="G154" s="930"/>
      <c r="H154" s="930"/>
      <c r="I154" s="930"/>
      <c r="J154" s="931"/>
      <c r="K154" s="931" t="s">
        <v>2598</v>
      </c>
      <c r="L154" s="930"/>
      <c r="M154" s="922" t="str">
        <f>IF(M143=$S$14,$T$12,IF(AND($O$3&lt;&gt;$U$3,ROUNDDOWN(M143,0)=$S$12),$U$12,$T$12))</f>
        <v>　レベル　4</v>
      </c>
      <c r="N154" s="3682"/>
      <c r="O154" s="3683"/>
    </row>
    <row r="155" spans="2:15" ht="72" customHeight="1">
      <c r="D155" s="888"/>
      <c r="E155" s="893"/>
      <c r="F155" s="933" t="str">
        <f>IF(F143=$S$14,$T$13,IF(AND($O$3&lt;&gt;$U$3,ROUNDDOWN(F143,0)=$S$13),$U$13,$T$13))</f>
        <v>　レベル　5</v>
      </c>
      <c r="G155" s="3680" t="s">
        <v>2599</v>
      </c>
      <c r="H155" s="3704"/>
      <c r="I155" s="3704"/>
      <c r="J155" s="3710"/>
      <c r="K155" s="934" t="s">
        <v>2600</v>
      </c>
      <c r="L155" s="934" t="s">
        <v>2601</v>
      </c>
      <c r="M155" s="933" t="str">
        <f>IF(M143=$S$14,$T$13,IF(AND($O$3&lt;&gt;$U$3,ROUNDDOWN(M143,0)=$S$13),$U$13,$T$13))</f>
        <v>　レベル　5</v>
      </c>
      <c r="N155" s="3680" t="s">
        <v>2599</v>
      </c>
      <c r="O155" s="3681"/>
    </row>
    <row r="156" spans="2:15" ht="15.75" hidden="1">
      <c r="D156" s="888"/>
      <c r="E156" s="893"/>
      <c r="F156" s="893"/>
      <c r="G156" s="1030"/>
      <c r="H156" s="1030"/>
      <c r="I156" s="1030"/>
      <c r="J156" s="1030"/>
      <c r="K156" s="1030"/>
      <c r="L156" s="1030"/>
      <c r="M156" s="1030"/>
      <c r="N156" s="1030"/>
      <c r="O156" s="1030"/>
    </row>
    <row r="157" spans="2:15" ht="15.75" hidden="1">
      <c r="D157" s="888"/>
      <c r="E157" s="893"/>
      <c r="F157" s="2263" t="s">
        <v>2033</v>
      </c>
      <c r="G157" s="976"/>
      <c r="H157" s="1025"/>
      <c r="I157" s="1005"/>
      <c r="J157" s="979" t="str">
        <f>IF(OR(F159=0,J158=0),$R$3,"")</f>
        <v>&lt;評価しない&gt;</v>
      </c>
      <c r="K157" s="1030"/>
      <c r="L157" s="1030"/>
      <c r="M157" s="1030"/>
      <c r="N157" s="1030"/>
      <c r="O157" s="1030"/>
    </row>
    <row r="158" spans="2:15" ht="16.5" hidden="1" thickBot="1">
      <c r="D158" s="888"/>
      <c r="E158" s="893"/>
      <c r="F158" s="903" t="s">
        <v>1456</v>
      </c>
      <c r="G158" s="904"/>
      <c r="H158" s="905"/>
      <c r="I158" s="906" t="s">
        <v>1121</v>
      </c>
      <c r="J158" s="909">
        <f>重み!M23</f>
        <v>0</v>
      </c>
      <c r="K158" s="1030"/>
      <c r="L158" s="1030"/>
      <c r="M158" s="1030"/>
      <c r="N158" s="1030"/>
      <c r="O158" s="1030"/>
    </row>
    <row r="159" spans="2:15" ht="16.5" hidden="1" thickBot="1">
      <c r="D159" s="888"/>
      <c r="E159" s="893"/>
      <c r="F159" s="910">
        <v>0</v>
      </c>
      <c r="G159" s="914" t="s">
        <v>2034</v>
      </c>
      <c r="H159" s="915"/>
      <c r="I159" s="915"/>
      <c r="J159" s="916"/>
      <c r="K159" s="1030"/>
      <c r="L159" s="1030"/>
      <c r="M159" s="1030"/>
      <c r="N159" s="1030"/>
      <c r="O159" s="1030"/>
    </row>
    <row r="160" spans="2:15" ht="15.75" hidden="1">
      <c r="B160" s="1">
        <v>1</v>
      </c>
      <c r="C160" s="1">
        <v>1</v>
      </c>
      <c r="D160" s="888"/>
      <c r="E160" s="893"/>
      <c r="F160" s="917" t="str">
        <f>IF(F159=$S$14,$T$9,IF(ROUNDDOWN(F159,0)=$S$9,$U$9,$T$9))</f>
        <v>　レベル　1</v>
      </c>
      <c r="G160" s="919" t="s">
        <v>2035</v>
      </c>
      <c r="H160" s="920"/>
      <c r="I160" s="920"/>
      <c r="J160" s="921"/>
      <c r="K160" s="1030"/>
      <c r="L160" s="1030"/>
      <c r="M160" s="1030"/>
      <c r="N160" s="1030"/>
      <c r="O160" s="1030"/>
    </row>
    <row r="161" spans="2:15" ht="15.75" hidden="1">
      <c r="B161" s="1">
        <v>2</v>
      </c>
      <c r="C161" s="1">
        <v>2</v>
      </c>
      <c r="D161" s="888"/>
      <c r="E161" s="893"/>
      <c r="F161" s="922" t="str">
        <f>IF(F159=$S$14,$T$10,IF(ROUNDDOWN(F159,0)=$S$10,$U$10,$T$10))</f>
        <v>　レベル　2</v>
      </c>
      <c r="G161" s="926"/>
      <c r="H161" s="927"/>
      <c r="I161" s="927"/>
      <c r="J161" s="928"/>
      <c r="K161" s="1030"/>
      <c r="L161" s="1030"/>
      <c r="M161" s="1030"/>
      <c r="N161" s="1030"/>
      <c r="O161" s="1030"/>
    </row>
    <row r="162" spans="2:15" ht="15.75" hidden="1">
      <c r="B162" s="1">
        <v>3</v>
      </c>
      <c r="C162" s="1">
        <v>3</v>
      </c>
      <c r="D162" s="888"/>
      <c r="E162" s="893"/>
      <c r="F162" s="922" t="str">
        <f>IF(F159=$S$14,$T$11,IF(ROUNDDOWN(F159,0)=$S$11,$U$11,$T$11))</f>
        <v>　レベル　3</v>
      </c>
      <c r="G162" s="926" t="s">
        <v>2602</v>
      </c>
      <c r="H162" s="927"/>
      <c r="I162" s="927"/>
      <c r="J162" s="928"/>
      <c r="K162" s="1030"/>
      <c r="L162" s="1030"/>
      <c r="M162" s="1030"/>
      <c r="N162" s="1030"/>
      <c r="O162" s="1030"/>
    </row>
    <row r="163" spans="2:15" ht="15.75" hidden="1">
      <c r="B163" s="1">
        <v>4</v>
      </c>
      <c r="C163" s="1">
        <v>4</v>
      </c>
      <c r="D163" s="888"/>
      <c r="E163" s="893"/>
      <c r="F163" s="922" t="str">
        <f>IF(F159=$S$14,$T$12,IF(ROUNDDOWN(F159,0)=$S$12,$U$12,$T$12))</f>
        <v>　レベル　4</v>
      </c>
      <c r="G163" s="926"/>
      <c r="H163" s="927"/>
      <c r="I163" s="927"/>
      <c r="J163" s="928"/>
      <c r="K163" s="1030"/>
      <c r="L163" s="1030"/>
      <c r="M163" s="1030"/>
      <c r="N163" s="1030"/>
      <c r="O163" s="1030"/>
    </row>
    <row r="164" spans="2:15" ht="15.75" hidden="1">
      <c r="B164" s="1">
        <v>5</v>
      </c>
      <c r="C164" s="1">
        <v>5</v>
      </c>
      <c r="D164" s="888"/>
      <c r="E164" s="893"/>
      <c r="F164" s="933" t="str">
        <f>IF(F159=$S$14,$T$13,IF(ROUNDDOWN(F159,0)=$S$13,$U$13,$T$13))</f>
        <v>　レベル　5</v>
      </c>
      <c r="G164" s="937" t="s">
        <v>1457</v>
      </c>
      <c r="H164" s="938"/>
      <c r="I164" s="938"/>
      <c r="J164" s="939"/>
      <c r="K164" s="1030"/>
      <c r="L164" s="1030"/>
      <c r="M164" s="1030"/>
      <c r="N164" s="1030"/>
      <c r="O164" s="1030"/>
    </row>
    <row r="165" spans="2:15" ht="15.75">
      <c r="B165" s="940">
        <v>0</v>
      </c>
      <c r="C165" s="940">
        <v>0</v>
      </c>
      <c r="D165" s="888"/>
      <c r="E165" s="893"/>
      <c r="F165" s="1060"/>
      <c r="G165" s="1061"/>
      <c r="H165" s="1061"/>
      <c r="I165" s="1061"/>
      <c r="J165" s="1061"/>
      <c r="K165" s="1061"/>
      <c r="L165" s="1062"/>
      <c r="M165" s="1063"/>
      <c r="N165" s="1063"/>
      <c r="O165" s="1063"/>
    </row>
    <row r="166" spans="2:15" ht="15.75">
      <c r="D166" s="888"/>
      <c r="E166" s="893"/>
      <c r="F166" s="899" t="s">
        <v>2401</v>
      </c>
      <c r="G166" s="976"/>
      <c r="H166" s="1025"/>
      <c r="I166" s="1005"/>
      <c r="J166" s="979" t="str">
        <f>IF(OR(F168=0,AND(J167=0,O167=0)),$R$3,"")</f>
        <v/>
      </c>
      <c r="K166" s="1064"/>
      <c r="L166" s="976"/>
      <c r="M166" s="1025"/>
      <c r="N166" s="1005"/>
      <c r="O166" s="979"/>
    </row>
    <row r="167" spans="2:15" ht="16.5" thickBot="1">
      <c r="D167" s="888"/>
      <c r="E167" s="1038"/>
      <c r="F167" s="903" t="s">
        <v>380</v>
      </c>
      <c r="G167" s="904"/>
      <c r="H167" s="905"/>
      <c r="I167" s="906" t="s">
        <v>1121</v>
      </c>
      <c r="J167" s="909">
        <f>重み!M24</f>
        <v>0.25196850393700787</v>
      </c>
      <c r="K167" s="903" t="s">
        <v>1611</v>
      </c>
      <c r="L167" s="904"/>
      <c r="M167" s="905"/>
      <c r="N167" s="906" t="s">
        <v>1121</v>
      </c>
      <c r="O167" s="909">
        <f>重み!N24</f>
        <v>5.9055118110236211E-3</v>
      </c>
    </row>
    <row r="168" spans="2:15" ht="16.5" thickBot="1">
      <c r="D168" s="888"/>
      <c r="E168" s="1038"/>
      <c r="F168" s="910">
        <v>3</v>
      </c>
      <c r="G168" s="1026" t="s">
        <v>2191</v>
      </c>
      <c r="H168" s="915"/>
      <c r="I168" s="915"/>
      <c r="J168" s="916"/>
      <c r="K168" s="910">
        <v>3</v>
      </c>
      <c r="L168" s="1026" t="s">
        <v>2192</v>
      </c>
      <c r="M168" s="916"/>
      <c r="N168" s="1026" t="s">
        <v>1458</v>
      </c>
      <c r="O168" s="916"/>
    </row>
    <row r="169" spans="2:15" ht="15.75" hidden="1">
      <c r="B169" s="1">
        <v>1</v>
      </c>
      <c r="C169" s="1">
        <v>1</v>
      </c>
      <c r="D169" s="888"/>
      <c r="E169" s="1038"/>
      <c r="F169" s="1065"/>
      <c r="G169" s="1026" t="s">
        <v>1038</v>
      </c>
      <c r="H169" s="915"/>
      <c r="I169" s="915"/>
      <c r="J169" s="916"/>
      <c r="K169" s="1065"/>
      <c r="L169" s="1032" t="s">
        <v>1038</v>
      </c>
      <c r="M169" s="1033"/>
      <c r="N169" s="1032"/>
      <c r="O169" s="1033"/>
    </row>
    <row r="170" spans="2:15" ht="60" hidden="1" customHeight="1">
      <c r="B170" s="1">
        <v>2</v>
      </c>
      <c r="C170" s="1">
        <v>2</v>
      </c>
      <c r="D170" s="888"/>
      <c r="E170" s="1039"/>
      <c r="F170" s="922" t="str">
        <f>IF(F168=$S$14,$T$9,IF(AND($O$3=$U$3,ROUNDDOWN(F168,0)=$S$9),$U$9,$T$9))</f>
        <v>　レベル　1</v>
      </c>
      <c r="G170" s="3678" t="s">
        <v>2603</v>
      </c>
      <c r="H170" s="3698"/>
      <c r="I170" s="3698"/>
      <c r="J170" s="3684"/>
      <c r="K170" s="922" t="str">
        <f>IF(K168=$S$14,$T$9,IF(AND($O$3=$U$3,ROUNDDOWN(K168,0)=$S$9),$U$9,$T$9))</f>
        <v>　レベル　1</v>
      </c>
      <c r="L170" s="3682" t="s">
        <v>2603</v>
      </c>
      <c r="M170" s="3683"/>
      <c r="N170" s="3682" t="s">
        <v>2604</v>
      </c>
      <c r="O170" s="3683"/>
    </row>
    <row r="171" spans="2:15" ht="60" hidden="1" customHeight="1">
      <c r="B171" s="1">
        <v>3</v>
      </c>
      <c r="C171" s="1">
        <v>3</v>
      </c>
      <c r="D171" s="888"/>
      <c r="E171" s="1039"/>
      <c r="F171" s="922" t="str">
        <f>IF(F168=$S$14,$T$10,IF(AND($O$3=$U$3,ROUNDDOWN(F168,0)=$S$10),$U$10,$T$10))</f>
        <v>　レベル　2</v>
      </c>
      <c r="G171" s="926"/>
      <c r="H171" s="1037"/>
      <c r="I171" s="1066"/>
      <c r="J171" s="1036"/>
      <c r="K171" s="922" t="str">
        <f>IF(K168=$S$14,$T$10,IF(AND($O$3=$U$3,ROUNDDOWN(K168,0)=$S$10),$U$10,$T$10))</f>
        <v>　レベル　2</v>
      </c>
      <c r="L171" s="3682"/>
      <c r="M171" s="3683"/>
      <c r="N171" s="3682" t="s">
        <v>2605</v>
      </c>
      <c r="O171" s="3683"/>
    </row>
    <row r="172" spans="2:15" ht="60" hidden="1" customHeight="1">
      <c r="B172" s="1">
        <v>4</v>
      </c>
      <c r="C172" s="1">
        <v>4</v>
      </c>
      <c r="D172" s="888"/>
      <c r="E172" s="1039"/>
      <c r="F172" s="922" t="str">
        <f>IF(F168=$S$14,$T$11,IF(AND($O$3=$U$3,ROUNDDOWN(F168,0)=$S$11),$U$11,$T$11))</f>
        <v>　レベル　3</v>
      </c>
      <c r="G172" s="3682" t="s">
        <v>2606</v>
      </c>
      <c r="H172" s="3705"/>
      <c r="I172" s="3705"/>
      <c r="J172" s="3706"/>
      <c r="K172" s="922" t="str">
        <f>IF(K168=$S$14,$T$11,IF(AND($O$3=$U$3,ROUNDDOWN(K168,0)=$S$11),$U$11,$T$11))</f>
        <v>　レベル　3</v>
      </c>
      <c r="L172" s="3682" t="s">
        <v>2606</v>
      </c>
      <c r="M172" s="3683"/>
      <c r="N172" s="3682" t="s">
        <v>2607</v>
      </c>
      <c r="O172" s="3683"/>
    </row>
    <row r="173" spans="2:15" ht="45" hidden="1" customHeight="1">
      <c r="B173" s="1">
        <v>5</v>
      </c>
      <c r="C173" s="1">
        <v>5</v>
      </c>
      <c r="D173" s="888"/>
      <c r="E173" s="1039"/>
      <c r="F173" s="922" t="str">
        <f>IF(F168=$S$14,$T$12,IF(AND($O$3=$U$3,ROUNDDOWN(F168,0)=$S$12),$U$12,$T$12))</f>
        <v>　レベル　4</v>
      </c>
      <c r="G173" s="926"/>
      <c r="H173" s="1037"/>
      <c r="I173" s="1066"/>
      <c r="J173" s="932"/>
      <c r="K173" s="922" t="str">
        <f>IF(K168=$S$14,$T$12,IF(AND($O$3=$U$3,ROUNDDOWN(K168,0)=$S$12),$U$12,$T$12))</f>
        <v>　レベル　4</v>
      </c>
      <c r="L173" s="3682"/>
      <c r="M173" s="3683"/>
      <c r="N173" s="3682" t="s">
        <v>1788</v>
      </c>
      <c r="O173" s="3683"/>
    </row>
    <row r="174" spans="2:15" ht="60" hidden="1" customHeight="1">
      <c r="B174" s="940">
        <v>0</v>
      </c>
      <c r="C174" s="940">
        <v>0</v>
      </c>
      <c r="D174" s="888"/>
      <c r="E174" s="1039"/>
      <c r="F174" s="933" t="str">
        <f>IF(F168=$S$14,$T$13,IF(AND($O$3=$U$3,ROUNDDOWN(F168,0)=$S$13),$U$13,$T$13))</f>
        <v>　レベル　5</v>
      </c>
      <c r="G174" s="3680" t="s">
        <v>2608</v>
      </c>
      <c r="H174" s="3702"/>
      <c r="I174" s="3702"/>
      <c r="J174" s="3703"/>
      <c r="K174" s="933" t="str">
        <f>IF(K168=$S$14,$T$13,IF(AND($O$3=$U$3,ROUNDDOWN(K168,0)=$S$13),$U$13,$T$13))</f>
        <v>　レベル　5</v>
      </c>
      <c r="L174" s="3682" t="s">
        <v>2608</v>
      </c>
      <c r="M174" s="3683"/>
      <c r="N174" s="3682" t="s">
        <v>2609</v>
      </c>
      <c r="O174" s="3683"/>
    </row>
    <row r="175" spans="2:15" ht="15.75" hidden="1">
      <c r="D175" s="888"/>
      <c r="E175" s="1039"/>
      <c r="F175" s="1028"/>
      <c r="G175" s="915" t="s">
        <v>1037</v>
      </c>
      <c r="H175" s="1047"/>
      <c r="I175" s="1047"/>
      <c r="J175" s="1047"/>
      <c r="K175" s="1028"/>
      <c r="L175" s="1047" t="s">
        <v>1037</v>
      </c>
      <c r="M175" s="1047"/>
      <c r="N175" s="1047"/>
      <c r="O175" s="1067"/>
    </row>
    <row r="176" spans="2:15" ht="84.75" customHeight="1">
      <c r="D176" s="888"/>
      <c r="E176" s="1039"/>
      <c r="F176" s="1029" t="str">
        <f>IF(F168=$S$14,$T$9,IF(AND($O$3&lt;&gt;$U$3,ROUNDDOWN(F168,0)=$S$9),$U$9,$T$9))</f>
        <v>　レベル　1</v>
      </c>
      <c r="G176" s="3678" t="s">
        <v>2610</v>
      </c>
      <c r="H176" s="3679"/>
      <c r="I176" s="3679"/>
      <c r="J176" s="3696"/>
      <c r="K176" s="1029" t="str">
        <f>IF(K168=$S$14,$T$9,IF(AND($O$3&lt;&gt;$U$3,ROUNDDOWN(K168,0)=$S$9),$U$9,$T$9))</f>
        <v>　レベル　1</v>
      </c>
      <c r="L176" s="3678" t="s">
        <v>3794</v>
      </c>
      <c r="M176" s="3696"/>
      <c r="N176" s="3682" t="s">
        <v>3795</v>
      </c>
      <c r="O176" s="3683"/>
    </row>
    <row r="177" spans="2:15" ht="49.5" customHeight="1">
      <c r="D177" s="888"/>
      <c r="E177" s="1039"/>
      <c r="F177" s="922" t="str">
        <f>IF(F168=$S$14,$T$10,IF(AND($O$3&lt;&gt;$U$3,ROUNDDOWN(F168,0)=$S$10),$U$10,$T$10))</f>
        <v>　レベル　2</v>
      </c>
      <c r="G177" s="3682"/>
      <c r="H177" s="3688"/>
      <c r="I177" s="3688"/>
      <c r="J177" s="3683"/>
      <c r="K177" s="922" t="str">
        <f>IF(K168=$S$14,$T$10,IF(AND($O$3&lt;&gt;$U$3,ROUNDDOWN(K168,0)=$S$10),$U$10,$T$10))</f>
        <v>　レベル　2</v>
      </c>
      <c r="L177" s="926"/>
      <c r="M177" s="1037"/>
      <c r="N177" s="3682" t="s">
        <v>3796</v>
      </c>
      <c r="O177" s="3683"/>
    </row>
    <row r="178" spans="2:15" ht="84.75" customHeight="1">
      <c r="D178" s="888"/>
      <c r="E178" s="1039"/>
      <c r="F178" s="922" t="str">
        <f>IF(F168=$S$14,$T$11,IF(AND($O$3&lt;&gt;$U$3,ROUNDDOWN(F168,0)=$S$11),$U$11,$T$11))</f>
        <v>■レベル　3</v>
      </c>
      <c r="G178" s="3682" t="s">
        <v>2611</v>
      </c>
      <c r="H178" s="3688"/>
      <c r="I178" s="3688"/>
      <c r="J178" s="3683"/>
      <c r="K178" s="922" t="str">
        <f>IF(K168=$S$14,$T$11,IF(AND($O$3&lt;&gt;$U$3,ROUNDDOWN(K168,0)=$S$11),$U$11,$T$11))</f>
        <v>■レベル　3</v>
      </c>
      <c r="L178" s="3682" t="s">
        <v>2612</v>
      </c>
      <c r="M178" s="3683"/>
      <c r="N178" s="3682" t="s">
        <v>3797</v>
      </c>
      <c r="O178" s="3683"/>
    </row>
    <row r="179" spans="2:15" ht="46.5" customHeight="1">
      <c r="D179" s="888"/>
      <c r="E179" s="1039"/>
      <c r="F179" s="922" t="str">
        <f>IF(F168=$S$14,$T$12,IF(AND($O$3&lt;&gt;$U$3,ROUNDDOWN(F168,0)=$S$12),$U$12,$T$12))</f>
        <v>　レベル　4</v>
      </c>
      <c r="G179" s="3682"/>
      <c r="H179" s="3688"/>
      <c r="I179" s="3688"/>
      <c r="J179" s="3683"/>
      <c r="K179" s="922" t="str">
        <f>IF(K168=$S$14,$T$12,IF(AND($O$3&lt;&gt;$U$3,ROUNDDOWN(K168,0)=$S$12),$U$12,$T$12))</f>
        <v>　レベル　4</v>
      </c>
      <c r="L179" s="926"/>
      <c r="M179" s="1037"/>
      <c r="N179" s="3682" t="s">
        <v>3798</v>
      </c>
      <c r="O179" s="3683"/>
    </row>
    <row r="180" spans="2:15" ht="89.25" customHeight="1">
      <c r="D180" s="888"/>
      <c r="E180" s="1039"/>
      <c r="F180" s="933" t="str">
        <f>IF(F168=$S$14,$T$13,IF(AND($O$3&lt;&gt;$U$3,ROUNDDOWN(F168,0)=$S$13),$U$13,$T$13))</f>
        <v>　レベル　5</v>
      </c>
      <c r="G180" s="3680" t="s">
        <v>2613</v>
      </c>
      <c r="H180" s="3687"/>
      <c r="I180" s="3687"/>
      <c r="J180" s="3681"/>
      <c r="K180" s="933" t="str">
        <f>IF(K168=$S$14,$T$13,IF(AND($O$3&lt;&gt;$U$3,ROUNDDOWN(K168,0)=$S$13),$U$13,$T$13))</f>
        <v>　レベル　5</v>
      </c>
      <c r="L180" s="3680" t="s">
        <v>2614</v>
      </c>
      <c r="M180" s="3681"/>
      <c r="N180" s="3680" t="s">
        <v>3799</v>
      </c>
      <c r="O180" s="3681"/>
    </row>
    <row r="181" spans="2:15" ht="62.25" customHeight="1">
      <c r="D181" s="888"/>
      <c r="E181" s="893"/>
      <c r="F181" s="3012" t="s">
        <v>3800</v>
      </c>
      <c r="G181" s="3191" t="str">
        <f>計画書!F11</f>
        <v>等級４を超える水準</v>
      </c>
      <c r="H181" s="3191"/>
      <c r="I181" s="3191" t="str">
        <f>計画書!F12</f>
        <v>＜１～７地域＞</v>
      </c>
      <c r="J181" s="3715" t="str">
        <f>計画書!G12</f>
        <v>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v>
      </c>
      <c r="K181" s="3715"/>
      <c r="L181" s="3715"/>
      <c r="M181" s="3715"/>
      <c r="N181" s="3715"/>
      <c r="O181" s="3715"/>
    </row>
    <row r="182" spans="2:15" s="2445" customFormat="1" ht="18.75" customHeight="1">
      <c r="D182" s="888"/>
      <c r="E182" s="893"/>
      <c r="F182" s="893"/>
      <c r="G182" s="1432"/>
      <c r="H182" s="1432"/>
      <c r="I182" s="1432" t="str">
        <f>計画書!F13</f>
        <v>＜８地域＞</v>
      </c>
      <c r="J182" s="1432" t="str">
        <f>計画書!G13</f>
        <v>各住戸の開口部の平均日射熱取得率が12以下となること。</v>
      </c>
      <c r="K182" s="1432"/>
      <c r="L182" s="1432"/>
      <c r="M182" s="1432"/>
      <c r="N182" s="1432"/>
      <c r="O182" s="1432"/>
    </row>
    <row r="183" spans="2:15" s="2445" customFormat="1" ht="15.75">
      <c r="D183" s="888"/>
      <c r="E183" s="893"/>
      <c r="F183" s="893"/>
      <c r="G183" s="1030"/>
      <c r="H183" s="1030"/>
      <c r="I183" s="1030"/>
      <c r="J183" s="1030"/>
      <c r="K183" s="1030"/>
      <c r="L183" s="1030"/>
      <c r="M183" s="1030"/>
      <c r="N183" s="1030"/>
      <c r="O183" s="1030"/>
    </row>
    <row r="184" spans="2:15" ht="15.75">
      <c r="D184" s="888"/>
      <c r="E184" s="1039"/>
      <c r="F184" s="1044" t="s">
        <v>2403</v>
      </c>
      <c r="G184" s="976"/>
      <c r="H184" s="1025"/>
      <c r="I184" s="1005"/>
      <c r="J184" s="979" t="str">
        <f>IF(OR(F186=0,J185=0),$R$3,"")</f>
        <v/>
      </c>
      <c r="K184" s="1030"/>
      <c r="L184" s="1030"/>
      <c r="M184" s="1030"/>
      <c r="N184" s="1030"/>
      <c r="O184" s="1030"/>
    </row>
    <row r="185" spans="2:15" ht="16.5" thickBot="1">
      <c r="D185" s="888"/>
      <c r="E185" s="1039"/>
      <c r="F185" s="1045" t="s">
        <v>2038</v>
      </c>
      <c r="G185" s="1046"/>
      <c r="H185" s="1047"/>
      <c r="I185" s="906" t="s">
        <v>1121</v>
      </c>
      <c r="J185" s="904">
        <f>重み!M25</f>
        <v>0.36909448818897633</v>
      </c>
      <c r="K185" s="1046"/>
      <c r="L185" s="1048"/>
      <c r="M185" s="1072" t="s">
        <v>391</v>
      </c>
      <c r="N185" s="1073"/>
      <c r="O185" s="3013" t="s">
        <v>1092</v>
      </c>
    </row>
    <row r="186" spans="2:15" ht="16.5" thickBot="1">
      <c r="D186" s="888"/>
      <c r="E186" s="1039"/>
      <c r="F186" s="910">
        <v>3</v>
      </c>
      <c r="G186" s="997" t="s">
        <v>3802</v>
      </c>
      <c r="H186" s="915"/>
      <c r="I186" s="916"/>
      <c r="J186" s="3018" t="s">
        <v>3803</v>
      </c>
      <c r="K186" s="915"/>
      <c r="L186" s="915"/>
      <c r="M186" s="1074" t="s">
        <v>1459</v>
      </c>
      <c r="N186" s="1075"/>
      <c r="O186" s="3014"/>
    </row>
    <row r="187" spans="2:15" ht="51.75" customHeight="1">
      <c r="B187" s="1">
        <v>1</v>
      </c>
      <c r="C187" s="1">
        <v>1</v>
      </c>
      <c r="D187" s="888"/>
      <c r="E187" s="1039"/>
      <c r="F187" s="917" t="str">
        <f>IF(F186=$S$14,$T$9,IF(ROUNDDOWN(F186,0)=$S$9,$U$9,$T$9))</f>
        <v>　レベル　1</v>
      </c>
      <c r="G187" s="3678" t="s">
        <v>2615</v>
      </c>
      <c r="H187" s="3698"/>
      <c r="I187" s="3684"/>
      <c r="J187" s="3678" t="s">
        <v>2616</v>
      </c>
      <c r="K187" s="3679"/>
      <c r="L187" s="3679"/>
      <c r="M187" s="3711" t="s">
        <v>2617</v>
      </c>
      <c r="N187" s="3712"/>
      <c r="O187" s="3015" t="s">
        <v>3801</v>
      </c>
    </row>
    <row r="188" spans="2:15" ht="15.75">
      <c r="B188" s="1">
        <v>2</v>
      </c>
      <c r="C188" s="1">
        <v>2</v>
      </c>
      <c r="D188" s="888"/>
      <c r="E188" s="1039"/>
      <c r="F188" s="922" t="str">
        <f>IF(F186=$S$14,$T$10,IF(ROUNDDOWN(F186,0)=$S$10,$U$10,$T$10))</f>
        <v>　レベル　2</v>
      </c>
      <c r="G188" s="1076"/>
      <c r="H188" s="1077"/>
      <c r="I188" s="1078"/>
      <c r="J188" s="926"/>
      <c r="K188" s="927"/>
      <c r="L188" s="927"/>
      <c r="M188" s="1079"/>
      <c r="N188" s="1080"/>
      <c r="O188" s="3016"/>
    </row>
    <row r="189" spans="2:15" ht="55.5" customHeight="1">
      <c r="B189" s="1">
        <v>3</v>
      </c>
      <c r="C189" s="1">
        <v>3</v>
      </c>
      <c r="D189" s="888"/>
      <c r="E189" s="1039"/>
      <c r="F189" s="922" t="str">
        <f>IF(F186=$S$14,$T$11,IF(ROUNDDOWN(F186,0)=$S$11,$U$11,$T$11))</f>
        <v>■レベル　3</v>
      </c>
      <c r="G189" s="3682" t="s">
        <v>2618</v>
      </c>
      <c r="H189" s="3688"/>
      <c r="I189" s="3683"/>
      <c r="J189" s="3682" t="s">
        <v>2619</v>
      </c>
      <c r="K189" s="3688"/>
      <c r="L189" s="3688"/>
      <c r="M189" s="3713" t="s">
        <v>2620</v>
      </c>
      <c r="N189" s="3714"/>
      <c r="O189" s="3016"/>
    </row>
    <row r="190" spans="2:15" ht="55.5" customHeight="1">
      <c r="B190" s="1">
        <v>4</v>
      </c>
      <c r="C190" s="1">
        <v>4</v>
      </c>
      <c r="D190" s="888"/>
      <c r="E190" s="1039"/>
      <c r="F190" s="922" t="str">
        <f>IF(F186=$S$14,$T$12,IF(ROUNDDOWN(F186,0)=$S$12,$U$12,$T$12))</f>
        <v>　レベル　4</v>
      </c>
      <c r="G190" s="3682" t="s">
        <v>2621</v>
      </c>
      <c r="H190" s="3688"/>
      <c r="I190" s="3683"/>
      <c r="J190" s="3682" t="s">
        <v>2622</v>
      </c>
      <c r="K190" s="3688"/>
      <c r="L190" s="3688"/>
      <c r="M190" s="3713" t="s">
        <v>2623</v>
      </c>
      <c r="N190" s="3714"/>
      <c r="O190" s="3016"/>
    </row>
    <row r="191" spans="2:15" ht="55.5" customHeight="1">
      <c r="B191" s="1">
        <v>5</v>
      </c>
      <c r="C191" s="1">
        <v>5</v>
      </c>
      <c r="D191" s="888"/>
      <c r="E191" s="1039"/>
      <c r="F191" s="933" t="str">
        <f>IF(F186=$S$14,$T$13,IF(ROUNDDOWN(F186,0)=$S$13,$U$13,$T$13))</f>
        <v>　レベル　5</v>
      </c>
      <c r="G191" s="3680" t="s">
        <v>2624</v>
      </c>
      <c r="H191" s="3687"/>
      <c r="I191" s="3681"/>
      <c r="J191" s="3680" t="s">
        <v>2625</v>
      </c>
      <c r="K191" s="3687"/>
      <c r="L191" s="3687"/>
      <c r="M191" s="3719" t="s">
        <v>2626</v>
      </c>
      <c r="N191" s="3720"/>
      <c r="O191" s="3017"/>
    </row>
    <row r="192" spans="2:15" ht="15.75" hidden="1">
      <c r="B192" s="940">
        <v>0</v>
      </c>
      <c r="C192" s="940">
        <v>0</v>
      </c>
      <c r="D192" s="888"/>
      <c r="E192" s="889"/>
      <c r="F192" s="1081"/>
      <c r="G192" s="1082"/>
      <c r="H192" s="975"/>
      <c r="I192" s="1082"/>
      <c r="J192" s="975"/>
      <c r="K192" s="1030"/>
      <c r="L192" s="1030"/>
      <c r="M192" s="1030"/>
      <c r="N192" s="1030"/>
      <c r="O192" s="1030"/>
    </row>
    <row r="193" spans="2:15" ht="15.75" hidden="1">
      <c r="D193" s="888"/>
      <c r="E193" s="1038"/>
      <c r="F193" s="899" t="s">
        <v>1550</v>
      </c>
      <c r="G193" s="976"/>
      <c r="H193" s="1025"/>
      <c r="I193" s="1005"/>
      <c r="J193" s="979" t="str">
        <f>IF(OR(F195=0,AND(J194=0,O194=0)),$R$3,"")</f>
        <v>&lt;評価しない&gt;</v>
      </c>
      <c r="K193" s="975"/>
      <c r="L193" s="976"/>
      <c r="M193" s="1025"/>
      <c r="N193" s="1005"/>
      <c r="O193" s="1005"/>
    </row>
    <row r="194" spans="2:15" ht="16.5" hidden="1" thickBot="1">
      <c r="D194" s="888"/>
      <c r="E194" s="1038"/>
      <c r="F194" s="903" t="s">
        <v>2038</v>
      </c>
      <c r="G194" s="904"/>
      <c r="H194" s="905"/>
      <c r="I194" s="906" t="s">
        <v>1121</v>
      </c>
      <c r="J194" s="909">
        <f>重み!M26</f>
        <v>0</v>
      </c>
      <c r="K194" s="903" t="s">
        <v>1611</v>
      </c>
      <c r="L194" s="904"/>
      <c r="M194" s="905"/>
      <c r="N194" s="906" t="s">
        <v>1121</v>
      </c>
      <c r="O194" s="909">
        <f>重み!N26</f>
        <v>0</v>
      </c>
    </row>
    <row r="195" spans="2:15" ht="16.5" hidden="1" thickBot="1">
      <c r="D195" s="888"/>
      <c r="E195" s="1038"/>
      <c r="F195" s="910">
        <v>0</v>
      </c>
      <c r="G195" s="914" t="s">
        <v>1551</v>
      </c>
      <c r="H195" s="915"/>
      <c r="I195" s="915"/>
      <c r="J195" s="915"/>
      <c r="K195" s="910">
        <v>0</v>
      </c>
      <c r="L195" s="1026" t="s">
        <v>909</v>
      </c>
      <c r="M195" s="916"/>
      <c r="N195" s="1026"/>
      <c r="O195" s="1031"/>
    </row>
    <row r="196" spans="2:15" ht="15.75" hidden="1" customHeight="1">
      <c r="B196" s="1">
        <v>1</v>
      </c>
      <c r="C196" s="1">
        <v>1</v>
      </c>
      <c r="D196" s="888"/>
      <c r="E196" s="1039"/>
      <c r="F196" s="917" t="str">
        <f>IF(F195=$S$14,$T$9,IF(ROUNDDOWN(F195,0)=$S$9,$U$9,$T$9))</f>
        <v>　レベル　1</v>
      </c>
      <c r="G196" s="3678" t="s">
        <v>1552</v>
      </c>
      <c r="H196" s="3698"/>
      <c r="I196" s="3698"/>
      <c r="J196" s="3684"/>
      <c r="K196" s="917" t="str">
        <f>IF(K195=$S$14,$T$9,IF(ROUNDDOWN(K195,0)=$S$9,$U$9,$T$9))</f>
        <v>　レベル　1</v>
      </c>
      <c r="L196" s="3678" t="s">
        <v>1552</v>
      </c>
      <c r="M196" s="3698"/>
      <c r="N196" s="3698"/>
      <c r="O196" s="3684"/>
    </row>
    <row r="197" spans="2:15" ht="15.75" hidden="1" customHeight="1">
      <c r="B197" s="1">
        <v>2</v>
      </c>
      <c r="C197" s="1">
        <v>2</v>
      </c>
      <c r="D197" s="888"/>
      <c r="E197" s="1039"/>
      <c r="F197" s="922" t="str">
        <f>IF(F195=$S$14,$T$10,IF(ROUNDDOWN(F195,0)=$S$10,$U$10,$T$10))</f>
        <v>　レベル　2</v>
      </c>
      <c r="G197" s="3682" t="s">
        <v>2627</v>
      </c>
      <c r="H197" s="3688"/>
      <c r="I197" s="3688"/>
      <c r="J197" s="3683"/>
      <c r="K197" s="922" t="str">
        <f>IF(K195=$S$14,$T$10,IF(ROUNDDOWN(K195,0)=$S$10,$U$10,$T$10))</f>
        <v>　レベル　2</v>
      </c>
      <c r="L197" s="3716" t="s">
        <v>2627</v>
      </c>
      <c r="M197" s="3717"/>
      <c r="N197" s="3717"/>
      <c r="O197" s="3718"/>
    </row>
    <row r="198" spans="2:15" ht="15.75" hidden="1" customHeight="1">
      <c r="B198" s="1">
        <v>3</v>
      </c>
      <c r="C198" s="1">
        <v>3</v>
      </c>
      <c r="D198" s="888"/>
      <c r="E198" s="1039"/>
      <c r="F198" s="922" t="str">
        <f>IF(F195=$S$14,$T$11,IF(ROUNDDOWN(F195,0)=$S$11,$U$11,$T$11))</f>
        <v>　レベル　3</v>
      </c>
      <c r="G198" s="3682" t="s">
        <v>1553</v>
      </c>
      <c r="H198" s="3688"/>
      <c r="I198" s="3688"/>
      <c r="J198" s="3683"/>
      <c r="K198" s="922" t="str">
        <f>IF(K195=$S$14,$T$11,IF(ROUNDDOWN(K195,0)=$S$11,$U$11,$T$11))</f>
        <v>　レベル　3</v>
      </c>
      <c r="L198" s="3716" t="s">
        <v>479</v>
      </c>
      <c r="M198" s="3717"/>
      <c r="N198" s="3717"/>
      <c r="O198" s="3718"/>
    </row>
    <row r="199" spans="2:15" ht="15.75" hidden="1">
      <c r="B199" s="1">
        <v>4</v>
      </c>
      <c r="C199" s="1">
        <v>4</v>
      </c>
      <c r="D199" s="888"/>
      <c r="E199" s="1039"/>
      <c r="F199" s="922" t="str">
        <f>IF(F195=$S$14,$T$12,IF(ROUNDDOWN(F195,0)=$S$12,$U$12,$T$12))</f>
        <v>　レベル　4</v>
      </c>
      <c r="G199" s="1083"/>
      <c r="H199" s="1084"/>
      <c r="I199" s="1077"/>
      <c r="J199" s="1078"/>
      <c r="K199" s="922" t="str">
        <f>IF(K195=$S$14,$T$12,IF(ROUNDDOWN(K195,0)=$S$12,$U$12,$T$12))</f>
        <v>　レベル　4</v>
      </c>
      <c r="L199" s="3716"/>
      <c r="M199" s="3717"/>
      <c r="N199" s="3717"/>
      <c r="O199" s="3718"/>
    </row>
    <row r="200" spans="2:15" ht="15.75" hidden="1" customHeight="1">
      <c r="B200" s="1">
        <v>5</v>
      </c>
      <c r="C200" s="1">
        <v>5</v>
      </c>
      <c r="D200" s="888"/>
      <c r="E200" s="1039"/>
      <c r="F200" s="933" t="str">
        <f>IF(F195=$S$14,$T$13,IF(ROUNDDOWN(F195,0)=$S$13,$U$13,$T$13))</f>
        <v>　レベル　5</v>
      </c>
      <c r="G200" s="3723" t="s">
        <v>1554</v>
      </c>
      <c r="H200" s="3724"/>
      <c r="I200" s="3724"/>
      <c r="J200" s="3725"/>
      <c r="K200" s="933" t="str">
        <f>IF(K195=$S$14,$T$13,IF(ROUNDDOWN(K195,0)=$S$13,$U$13,$T$13))</f>
        <v>　レベル　5</v>
      </c>
      <c r="L200" s="3723" t="s">
        <v>480</v>
      </c>
      <c r="M200" s="3724"/>
      <c r="N200" s="3724"/>
      <c r="O200" s="3725"/>
    </row>
    <row r="201" spans="2:15" ht="15.75" hidden="1">
      <c r="B201" s="940">
        <v>0</v>
      </c>
      <c r="C201" s="940">
        <v>0</v>
      </c>
      <c r="D201" s="888"/>
      <c r="E201" s="1039"/>
      <c r="F201" s="1085"/>
      <c r="G201" s="1063"/>
      <c r="H201" s="1061"/>
      <c r="I201" s="1061"/>
      <c r="J201" s="1061"/>
      <c r="K201" s="1063"/>
      <c r="L201" s="1063"/>
      <c r="M201" s="1063"/>
      <c r="N201" s="1063"/>
      <c r="O201" s="975"/>
    </row>
    <row r="202" spans="2:15" ht="15.75" hidden="1">
      <c r="D202" s="888"/>
      <c r="E202" s="1039"/>
      <c r="F202" s="899" t="s">
        <v>1555</v>
      </c>
      <c r="G202" s="976"/>
      <c r="H202" s="1025"/>
      <c r="I202" s="1005"/>
      <c r="J202" s="979" t="str">
        <f>IF(OR(F204=0,J203=0),$R$3,"")</f>
        <v>&lt;評価しない&gt;</v>
      </c>
      <c r="K202" s="1063"/>
      <c r="L202" s="1063"/>
      <c r="M202" s="1063"/>
      <c r="N202" s="1063"/>
      <c r="O202" s="975"/>
    </row>
    <row r="203" spans="2:15" ht="16.5" hidden="1" thickBot="1">
      <c r="D203" s="888"/>
      <c r="E203" s="1039"/>
      <c r="F203" s="903" t="s">
        <v>481</v>
      </c>
      <c r="G203" s="904"/>
      <c r="H203" s="905"/>
      <c r="I203" s="906" t="s">
        <v>1121</v>
      </c>
      <c r="J203" s="909">
        <f>重み!N27</f>
        <v>0</v>
      </c>
      <c r="K203" s="1063"/>
      <c r="L203" s="1063"/>
      <c r="M203" s="1063"/>
      <c r="N203" s="1063"/>
      <c r="O203" s="975"/>
    </row>
    <row r="204" spans="2:15" ht="16.5" hidden="1" thickBot="1">
      <c r="D204" s="888"/>
      <c r="E204" s="1039"/>
      <c r="F204" s="910">
        <v>0</v>
      </c>
      <c r="G204" s="3721" t="s">
        <v>909</v>
      </c>
      <c r="H204" s="3722"/>
      <c r="I204" s="3722" t="s">
        <v>1556</v>
      </c>
      <c r="J204" s="3722"/>
      <c r="K204" s="1063"/>
      <c r="L204" s="1063"/>
      <c r="M204" s="1063"/>
      <c r="N204" s="1063"/>
      <c r="O204" s="975"/>
    </row>
    <row r="205" spans="2:15" ht="15.75" hidden="1" customHeight="1">
      <c r="B205" s="1">
        <v>1</v>
      </c>
      <c r="C205" s="1">
        <v>1</v>
      </c>
      <c r="D205" s="888"/>
      <c r="E205" s="1039"/>
      <c r="F205" s="917" t="str">
        <f>IF(F204=$S$14,$T$9,IF(ROUNDDOWN(F204,0)=$S$9,$U$9,$T$9))</f>
        <v>　レベル　1</v>
      </c>
      <c r="G205" s="3678" t="s">
        <v>2628</v>
      </c>
      <c r="H205" s="3684"/>
      <c r="I205" s="3678" t="s">
        <v>312</v>
      </c>
      <c r="J205" s="3696"/>
      <c r="K205" s="1063"/>
      <c r="L205" s="1063"/>
      <c r="M205" s="1063"/>
      <c r="N205" s="1063"/>
      <c r="O205" s="975"/>
    </row>
    <row r="206" spans="2:15" ht="15.75" hidden="1">
      <c r="B206" s="1">
        <v>2</v>
      </c>
      <c r="C206" s="1">
        <v>2</v>
      </c>
      <c r="D206" s="888"/>
      <c r="E206" s="1039"/>
      <c r="F206" s="922" t="str">
        <f>IF(F204=$S$14,$T$10,IF(ROUNDDOWN(F204,0)=$S$10,$U$10,$T$10))</f>
        <v>　レベル　2</v>
      </c>
      <c r="G206" s="930"/>
      <c r="H206" s="932"/>
      <c r="I206" s="930"/>
      <c r="J206" s="932"/>
      <c r="K206" s="1063"/>
      <c r="L206" s="1063"/>
      <c r="M206" s="1063"/>
      <c r="N206" s="1063"/>
      <c r="O206" s="975"/>
    </row>
    <row r="207" spans="2:15" ht="15.75" hidden="1" customHeight="1">
      <c r="B207" s="1">
        <v>3</v>
      </c>
      <c r="C207" s="1">
        <v>3</v>
      </c>
      <c r="D207" s="888"/>
      <c r="E207" s="1039"/>
      <c r="F207" s="922" t="str">
        <f>IF(F204=$S$14,$T$11,IF(ROUNDDOWN(F204,0)=$S$11,$U$11,$T$11))</f>
        <v>　レベル　3</v>
      </c>
      <c r="G207" s="3682" t="s">
        <v>2629</v>
      </c>
      <c r="H207" s="3726"/>
      <c r="I207" s="3682" t="s">
        <v>1557</v>
      </c>
      <c r="J207" s="3683"/>
      <c r="K207" s="1063"/>
      <c r="L207" s="1063"/>
      <c r="M207" s="1063"/>
      <c r="N207" s="1063"/>
      <c r="O207" s="975"/>
    </row>
    <row r="208" spans="2:15" ht="15.75" hidden="1">
      <c r="B208" s="1">
        <v>4</v>
      </c>
      <c r="C208" s="1">
        <v>4</v>
      </c>
      <c r="D208" s="888"/>
      <c r="E208" s="1039"/>
      <c r="F208" s="922" t="str">
        <f>IF(F204=$S$14,$T$12,IF(ROUNDDOWN(F204,0)=$S$12,$U$12,$T$12))</f>
        <v>　レベル　4</v>
      </c>
      <c r="G208" s="930"/>
      <c r="H208" s="932"/>
      <c r="I208" s="930"/>
      <c r="J208" s="932"/>
      <c r="K208" s="1063"/>
      <c r="L208" s="1063"/>
      <c r="M208" s="1063"/>
      <c r="N208" s="1063"/>
      <c r="O208" s="975"/>
    </row>
    <row r="209" spans="2:15" ht="15.75" hidden="1" customHeight="1">
      <c r="B209" s="1">
        <v>5</v>
      </c>
      <c r="C209" s="1">
        <v>5</v>
      </c>
      <c r="D209" s="888"/>
      <c r="E209" s="1039"/>
      <c r="F209" s="933" t="str">
        <f>IF(F204=$S$14,$T$13,IF(ROUNDDOWN(F204,0)=$S$13,$U$13,$T$13))</f>
        <v>　レベル　5</v>
      </c>
      <c r="G209" s="3680" t="s">
        <v>2630</v>
      </c>
      <c r="H209" s="3710"/>
      <c r="I209" s="3680" t="s">
        <v>2631</v>
      </c>
      <c r="J209" s="3681"/>
      <c r="K209" s="1063"/>
      <c r="L209" s="1063"/>
      <c r="M209" s="1063"/>
      <c r="N209" s="1063"/>
      <c r="O209" s="975"/>
    </row>
    <row r="210" spans="2:15" ht="15.75" hidden="1">
      <c r="B210" s="940">
        <v>0</v>
      </c>
      <c r="C210" s="940">
        <v>0</v>
      </c>
      <c r="D210" s="888"/>
      <c r="E210" s="1039"/>
      <c r="F210" s="1085"/>
      <c r="G210" s="1063"/>
      <c r="H210" s="1061"/>
      <c r="I210" s="1061"/>
      <c r="J210" s="1061"/>
      <c r="K210" s="1063"/>
      <c r="L210" s="1063"/>
      <c r="M210" s="1063"/>
      <c r="N210" s="1063"/>
      <c r="O210" s="975"/>
    </row>
    <row r="211" spans="2:15" ht="15.75" hidden="1">
      <c r="D211" s="888"/>
      <c r="E211" s="1038"/>
      <c r="F211" s="899" t="s">
        <v>231</v>
      </c>
      <c r="G211" s="976"/>
      <c r="H211" s="1025"/>
      <c r="I211" s="1005"/>
      <c r="J211" s="979" t="str">
        <f>IF(OR(F213=0,J212=0),$R$3,"")</f>
        <v>&lt;評価しない&gt;</v>
      </c>
      <c r="K211" s="1064" t="s">
        <v>1558</v>
      </c>
      <c r="L211" s="976"/>
      <c r="M211" s="1025"/>
      <c r="N211" s="1005"/>
      <c r="O211" s="979" t="str">
        <f>IF(OR(K213=0,O212=0),$R$3,"")</f>
        <v>&lt;評価しない&gt;</v>
      </c>
    </row>
    <row r="212" spans="2:15" ht="16.5" hidden="1" thickBot="1">
      <c r="D212" s="888"/>
      <c r="E212" s="1038"/>
      <c r="F212" s="903" t="s">
        <v>232</v>
      </c>
      <c r="G212" s="904"/>
      <c r="H212" s="905"/>
      <c r="I212" s="906" t="s">
        <v>1121</v>
      </c>
      <c r="J212" s="909">
        <f>重み!M28</f>
        <v>0</v>
      </c>
      <c r="K212" s="903" t="s">
        <v>1650</v>
      </c>
      <c r="L212" s="904"/>
      <c r="M212" s="905"/>
      <c r="N212" s="906" t="s">
        <v>1121</v>
      </c>
      <c r="O212" s="909">
        <f>重み!M29</f>
        <v>0</v>
      </c>
    </row>
    <row r="213" spans="2:15" ht="16.5" hidden="1" thickBot="1">
      <c r="D213" s="888"/>
      <c r="E213" s="1038"/>
      <c r="F213" s="910">
        <v>0</v>
      </c>
      <c r="G213" s="914" t="s">
        <v>1559</v>
      </c>
      <c r="H213" s="915"/>
      <c r="I213" s="915"/>
      <c r="J213" s="916"/>
      <c r="K213" s="910">
        <v>0</v>
      </c>
      <c r="L213" s="1026" t="s">
        <v>1560</v>
      </c>
      <c r="M213" s="916"/>
      <c r="N213" s="1026"/>
      <c r="O213" s="1031"/>
    </row>
    <row r="214" spans="2:15" ht="15.75" hidden="1" customHeight="1">
      <c r="B214" s="1">
        <v>1</v>
      </c>
      <c r="C214" s="1">
        <v>1</v>
      </c>
      <c r="D214" s="888"/>
      <c r="E214" s="1039"/>
      <c r="F214" s="917" t="str">
        <f>IF(F213=$S$14,$T$9,IF(ROUNDDOWN(F213,0)=$S$9,$U$9,$T$9))</f>
        <v>　レベル　1</v>
      </c>
      <c r="G214" s="3678" t="s">
        <v>2632</v>
      </c>
      <c r="H214" s="3679"/>
      <c r="I214" s="3679"/>
      <c r="J214" s="3696"/>
      <c r="K214" s="917" t="str">
        <f>IF(K213=$S$14,$T$9,IF(ROUNDDOWN(K213,0)=$S$9,$U$9,$T$9))</f>
        <v>　レベル　1</v>
      </c>
      <c r="L214" s="3678" t="s">
        <v>2633</v>
      </c>
      <c r="M214" s="3698"/>
      <c r="N214" s="3698"/>
      <c r="O214" s="3684"/>
    </row>
    <row r="215" spans="2:15" ht="15.75" hidden="1">
      <c r="B215" s="1">
        <v>2</v>
      </c>
      <c r="C215" s="1">
        <v>2</v>
      </c>
      <c r="D215" s="888"/>
      <c r="E215" s="1039"/>
      <c r="F215" s="922" t="str">
        <f>IF(F213=$S$14,$T$10,IF(ROUNDDOWN(F213,0)=$S$10,$U$10,$T$10))</f>
        <v>　レベル　2</v>
      </c>
      <c r="G215" s="3682"/>
      <c r="H215" s="3688"/>
      <c r="I215" s="3688"/>
      <c r="J215" s="3683"/>
      <c r="K215" s="922" t="str">
        <f>IF(K213=$S$14,$T$10,IF(ROUNDDOWN(K213,0)=$S$10,$U$10,$T$10))</f>
        <v>　レベル　2</v>
      </c>
      <c r="L215" s="3716"/>
      <c r="M215" s="3717"/>
      <c r="N215" s="3717"/>
      <c r="O215" s="3718"/>
    </row>
    <row r="216" spans="2:15" ht="15.75" hidden="1" customHeight="1">
      <c r="B216" s="1">
        <v>3</v>
      </c>
      <c r="C216" s="1">
        <v>3</v>
      </c>
      <c r="D216" s="888"/>
      <c r="E216" s="1039"/>
      <c r="F216" s="922" t="str">
        <f>IF(F213=$S$14,$T$11,IF(ROUNDDOWN(F213,0)=$S$11,$U$11,$T$11))</f>
        <v>　レベル　3</v>
      </c>
      <c r="G216" s="3682" t="s">
        <v>2634</v>
      </c>
      <c r="H216" s="3688"/>
      <c r="I216" s="3688"/>
      <c r="J216" s="3683"/>
      <c r="K216" s="922" t="str">
        <f>IF(K213=$S$14,$T$11,IF(ROUNDDOWN(K213,0)=$S$11,$U$11,$T$11))</f>
        <v>　レベル　3</v>
      </c>
      <c r="L216" s="3716" t="s">
        <v>2635</v>
      </c>
      <c r="M216" s="3717"/>
      <c r="N216" s="3717"/>
      <c r="O216" s="3718"/>
    </row>
    <row r="217" spans="2:15" ht="15.75" hidden="1">
      <c r="B217" s="1">
        <v>4</v>
      </c>
      <c r="C217" s="1">
        <v>4</v>
      </c>
      <c r="D217" s="888"/>
      <c r="E217" s="1039"/>
      <c r="F217" s="922" t="str">
        <f>IF(F213=$S$14,$T$12,IF(ROUNDDOWN(F213,0)=$S$12,$U$12,$T$12))</f>
        <v>　レベル　4</v>
      </c>
      <c r="G217" s="3682"/>
      <c r="H217" s="3688"/>
      <c r="I217" s="3688"/>
      <c r="J217" s="3683"/>
      <c r="K217" s="922" t="str">
        <f>IF(K213=$S$14,$T$12,IF(ROUNDDOWN(K213,0)=$S$12,$U$12,$T$12))</f>
        <v>　レベル　4</v>
      </c>
      <c r="L217" s="3716"/>
      <c r="M217" s="3717"/>
      <c r="N217" s="3717"/>
      <c r="O217" s="3718"/>
    </row>
    <row r="218" spans="2:15" ht="18" hidden="1" customHeight="1">
      <c r="B218" s="1">
        <v>5</v>
      </c>
      <c r="C218" s="1">
        <v>5</v>
      </c>
      <c r="D218" s="888"/>
      <c r="E218" s="1039"/>
      <c r="F218" s="933" t="str">
        <f>IF(F213=$S$14,$T$13,IF(ROUNDDOWN(F213,0)=$S$13,$U$13,$T$13))</f>
        <v>　レベル　5</v>
      </c>
      <c r="G218" s="3680" t="s">
        <v>2636</v>
      </c>
      <c r="H218" s="3687"/>
      <c r="I218" s="3687"/>
      <c r="J218" s="3681"/>
      <c r="K218" s="933" t="str">
        <f>IF(K213=$S$14,$T$13,IF(ROUNDDOWN(K213,0)=$S$13,$U$13,$T$13))</f>
        <v>　レベル　5</v>
      </c>
      <c r="L218" s="3707" t="s">
        <v>2637</v>
      </c>
      <c r="M218" s="3727"/>
      <c r="N218" s="3727"/>
      <c r="O218" s="3728"/>
    </row>
    <row r="219" spans="2:15" ht="15.75">
      <c r="B219" s="940">
        <v>0</v>
      </c>
      <c r="C219" s="940">
        <v>0</v>
      </c>
      <c r="D219" s="888"/>
      <c r="E219" s="889"/>
      <c r="F219" s="889"/>
      <c r="G219" s="975"/>
      <c r="H219" s="975"/>
      <c r="I219" s="975"/>
      <c r="J219" s="975"/>
      <c r="K219" s="975"/>
      <c r="L219" s="975"/>
      <c r="M219" s="975"/>
      <c r="N219" s="975"/>
      <c r="O219" s="975"/>
    </row>
    <row r="220" spans="2:15" ht="15.75">
      <c r="D220" s="1311">
        <v>2.2000000000000002</v>
      </c>
      <c r="E220" s="895" t="s">
        <v>337</v>
      </c>
      <c r="F220" s="899"/>
      <c r="G220" s="976"/>
      <c r="H220" s="1025"/>
      <c r="I220" s="1005"/>
      <c r="J220" s="979" t="str">
        <f>IF(OR(F222=0,AND(J221=0,O221=0)),$R$3,"")</f>
        <v/>
      </c>
      <c r="K220" s="1064"/>
      <c r="L220" s="976"/>
      <c r="M220" s="1025"/>
      <c r="N220" s="1005"/>
      <c r="O220" s="979"/>
    </row>
    <row r="221" spans="2:15" ht="16.5" thickBot="1">
      <c r="D221" s="1086"/>
      <c r="E221" s="895"/>
      <c r="F221" s="903" t="s">
        <v>1341</v>
      </c>
      <c r="G221" s="904"/>
      <c r="H221" s="905"/>
      <c r="I221" s="906" t="s">
        <v>1121</v>
      </c>
      <c r="J221" s="909">
        <f>重み!M30</f>
        <v>0.2</v>
      </c>
      <c r="K221" s="903" t="s">
        <v>1611</v>
      </c>
      <c r="L221" s="904"/>
      <c r="M221" s="905"/>
      <c r="N221" s="906" t="s">
        <v>1121</v>
      </c>
      <c r="O221" s="909">
        <f>重み!N30</f>
        <v>3.1496062992125984E-3</v>
      </c>
    </row>
    <row r="222" spans="2:15" ht="16.5" thickBot="1">
      <c r="D222" s="1086"/>
      <c r="E222" s="895"/>
      <c r="F222" s="910">
        <v>3</v>
      </c>
      <c r="G222" s="1026" t="s">
        <v>338</v>
      </c>
      <c r="H222" s="915"/>
      <c r="I222" s="1052" t="s">
        <v>339</v>
      </c>
      <c r="J222" s="916" t="s">
        <v>1122</v>
      </c>
      <c r="K222" s="910">
        <v>3</v>
      </c>
      <c r="L222" s="1026" t="s">
        <v>2192</v>
      </c>
      <c r="M222" s="916"/>
      <c r="N222" s="1026" t="s">
        <v>1342</v>
      </c>
      <c r="O222" s="1031"/>
    </row>
    <row r="223" spans="2:15" ht="15.75" hidden="1">
      <c r="B223" s="1">
        <v>1</v>
      </c>
      <c r="C223" s="1">
        <v>1</v>
      </c>
      <c r="D223" s="1086"/>
      <c r="E223" s="895"/>
      <c r="F223" s="1027"/>
      <c r="G223" s="1026" t="s">
        <v>1038</v>
      </c>
      <c r="H223" s="916"/>
      <c r="I223" s="915"/>
      <c r="J223" s="916"/>
      <c r="K223" s="1027"/>
      <c r="L223" s="1026" t="s">
        <v>1038</v>
      </c>
      <c r="M223" s="916"/>
      <c r="N223" s="1026"/>
      <c r="O223" s="916"/>
    </row>
    <row r="224" spans="2:15" ht="15.75" hidden="1">
      <c r="B224" s="1">
        <v>2</v>
      </c>
      <c r="C224" s="1">
        <v>2</v>
      </c>
      <c r="D224" s="1086"/>
      <c r="E224" s="895"/>
      <c r="F224" s="922" t="str">
        <f>IF(F222=$S$14,$T$9,IF(AND($O$3=$U$3,ROUNDDOWN(F222,0)=$S$9),$U$9,$T$9))</f>
        <v>　レベル　1</v>
      </c>
      <c r="G224" s="3678" t="s">
        <v>1343</v>
      </c>
      <c r="H224" s="3696"/>
      <c r="I224" s="1087" t="s">
        <v>1343</v>
      </c>
      <c r="J224" s="1087" t="s">
        <v>1343</v>
      </c>
      <c r="K224" s="922" t="str">
        <f>IF(K222=$S$14,$T$9,IF(AND($O$3=$U$3,ROUNDDOWN(K222,0)=$S$9),$U$9,$T$9))</f>
        <v>　レベル　1</v>
      </c>
      <c r="L224" s="3678" t="s">
        <v>1343</v>
      </c>
      <c r="M224" s="3696"/>
      <c r="N224" s="3678" t="s">
        <v>340</v>
      </c>
      <c r="O224" s="3696"/>
    </row>
    <row r="225" spans="2:15" ht="15.75" hidden="1" customHeight="1">
      <c r="B225" s="1">
        <v>3</v>
      </c>
      <c r="C225" s="1">
        <v>3</v>
      </c>
      <c r="D225" s="1086"/>
      <c r="E225" s="895"/>
      <c r="F225" s="922" t="str">
        <f>IF(F222=$S$14,$T$10,IF(AND($O$3=$U$3,ROUNDDOWN(F222,0)=$S$10),$U$10,$T$10))</f>
        <v>　レベル　2</v>
      </c>
      <c r="G225" s="3682"/>
      <c r="H225" s="3683"/>
      <c r="I225" s="930"/>
      <c r="J225" s="930"/>
      <c r="K225" s="922" t="str">
        <f>IF(K222=$S$14,$T$10,IF(AND($O$3=$U$3,ROUNDDOWN(K222,0)=$S$10),$U$10,$T$10))</f>
        <v>　レベル　2</v>
      </c>
      <c r="L225" s="3682"/>
      <c r="M225" s="3683"/>
      <c r="N225" s="3682" t="s">
        <v>1788</v>
      </c>
      <c r="O225" s="3683"/>
    </row>
    <row r="226" spans="2:15" ht="77.25" hidden="1" customHeight="1">
      <c r="B226" s="1">
        <v>4</v>
      </c>
      <c r="C226" s="1">
        <v>4</v>
      </c>
      <c r="D226" s="1086"/>
      <c r="E226" s="895"/>
      <c r="F226" s="922" t="str">
        <f>IF(F222=$S$14,$T$11,IF(AND($O$3=$U$3,ROUNDDOWN(F222,0)=$S$11),$U$11,$T$11))</f>
        <v>　レベル　3</v>
      </c>
      <c r="G226" s="3682" t="s">
        <v>2638</v>
      </c>
      <c r="H226" s="3683"/>
      <c r="I226" s="930" t="s">
        <v>2639</v>
      </c>
      <c r="J226" s="930" t="s">
        <v>2640</v>
      </c>
      <c r="K226" s="922" t="str">
        <f>IF(K222=$S$14,$T$11,IF(AND($O$3=$U$3,ROUNDDOWN(K222,0)=$S$11),$U$11,$T$11))</f>
        <v>　レベル　3</v>
      </c>
      <c r="L226" s="3682" t="s">
        <v>2638</v>
      </c>
      <c r="M226" s="3683"/>
      <c r="N226" s="3682" t="s">
        <v>2641</v>
      </c>
      <c r="O226" s="3683"/>
    </row>
    <row r="227" spans="2:15" ht="50.25" hidden="1" customHeight="1">
      <c r="B227" s="1">
        <v>5</v>
      </c>
      <c r="C227" s="1">
        <v>5</v>
      </c>
      <c r="D227" s="1086"/>
      <c r="E227" s="895"/>
      <c r="F227" s="922" t="str">
        <f>IF(F222=$S$14,$T$12,IF(AND($O$3=$U$3,ROUNDDOWN(F222,0)=$S$12),$U$12,$T$12))</f>
        <v>　レベル　4</v>
      </c>
      <c r="G227" s="3682"/>
      <c r="H227" s="3683"/>
      <c r="I227" s="930"/>
      <c r="J227" s="930"/>
      <c r="K227" s="922" t="str">
        <f>IF(K222=$S$14,$T$12,IF(AND($O$3=$U$3,ROUNDDOWN(K222,0)=$S$12),$U$12,$T$12))</f>
        <v>　レベル　4</v>
      </c>
      <c r="L227" s="3682"/>
      <c r="M227" s="3683"/>
      <c r="N227" s="3682" t="s">
        <v>2642</v>
      </c>
      <c r="O227" s="3683"/>
    </row>
    <row r="228" spans="2:15" ht="73.5" hidden="1" customHeight="1">
      <c r="B228" s="940">
        <v>0</v>
      </c>
      <c r="C228" s="940">
        <v>0</v>
      </c>
      <c r="D228" s="1086"/>
      <c r="E228" s="895"/>
      <c r="F228" s="933" t="str">
        <f>IF(F222=$S$14,$T$13,IF(AND($O$3=$U$3,ROUNDDOWN(F222,0)=$S$13),$U$13,$T$13))</f>
        <v>　レベル　5</v>
      </c>
      <c r="G228" s="3680" t="s">
        <v>2643</v>
      </c>
      <c r="H228" s="3681"/>
      <c r="I228" s="934" t="s">
        <v>2644</v>
      </c>
      <c r="J228" s="934" t="s">
        <v>2644</v>
      </c>
      <c r="K228" s="933" t="str">
        <f>IF(K222=$S$14,$T$13,IF(AND($O$3=$U$3,ROUNDDOWN(K222,0)=$S$13),$U$13,$T$13))</f>
        <v>　レベル　5</v>
      </c>
      <c r="L228" s="3680" t="s">
        <v>2643</v>
      </c>
      <c r="M228" s="3681"/>
      <c r="N228" s="3680" t="s">
        <v>2645</v>
      </c>
      <c r="O228" s="3681"/>
    </row>
    <row r="229" spans="2:15" ht="15.75" hidden="1">
      <c r="D229" s="888"/>
      <c r="E229" s="889"/>
      <c r="F229" s="1028"/>
      <c r="G229" s="1047" t="s">
        <v>1037</v>
      </c>
      <c r="H229" s="1047"/>
      <c r="I229" s="1047"/>
      <c r="J229" s="1067"/>
      <c r="K229" s="1028"/>
      <c r="L229" s="1047" t="s">
        <v>1037</v>
      </c>
      <c r="M229" s="1047"/>
      <c r="N229" s="1047"/>
      <c r="O229" s="1067"/>
    </row>
    <row r="230" spans="2:15" ht="21" customHeight="1">
      <c r="D230" s="888"/>
      <c r="E230" s="889"/>
      <c r="F230" s="1029" t="str">
        <f>IF(F222=$S$14,$T$9,IF(AND($O$3&lt;&gt;$U$3,ROUNDDOWN(F222,0)=$S$9),$U$9,$T$9))</f>
        <v>　レベル　1</v>
      </c>
      <c r="G230" s="3678" t="s">
        <v>241</v>
      </c>
      <c r="H230" s="3729"/>
      <c r="I230" s="1087" t="s">
        <v>241</v>
      </c>
      <c r="J230" s="1087" t="s">
        <v>241</v>
      </c>
      <c r="K230" s="1029" t="str">
        <f>IF(K222=$S$14,$T$9,IF(AND($O$3&lt;&gt;$U$3,ROUNDDOWN(K222,0)=$S$9),$U$9,$T$9))</f>
        <v>　レベル　1</v>
      </c>
      <c r="L230" s="3678" t="s">
        <v>241</v>
      </c>
      <c r="M230" s="3684"/>
      <c r="N230" s="3678" t="s">
        <v>242</v>
      </c>
      <c r="O230" s="3696"/>
    </row>
    <row r="231" spans="2:15" ht="15.75" customHeight="1">
      <c r="D231" s="888"/>
      <c r="E231" s="889"/>
      <c r="F231" s="922" t="str">
        <f>IF(F222=$S$14,$T$10,IF(AND($O$3&lt;&gt;$U$3,ROUNDDOWN(F222,0)=$S$10),$U$10,$T$10))</f>
        <v>　レベル　2</v>
      </c>
      <c r="G231" s="930"/>
      <c r="H231" s="932"/>
      <c r="I231" s="930"/>
      <c r="J231" s="930"/>
      <c r="K231" s="922" t="str">
        <f>IF(K222=$S$14,$T$10,IF(AND($O$3&lt;&gt;$U$3,ROUNDDOWN(K222,0)=$S$10),$U$10,$T$10))</f>
        <v>　レベル　2</v>
      </c>
      <c r="L231" s="930"/>
      <c r="M231" s="932"/>
      <c r="N231" s="3716" t="s">
        <v>1788</v>
      </c>
      <c r="O231" s="3718"/>
    </row>
    <row r="232" spans="2:15" ht="96.75" customHeight="1">
      <c r="D232" s="888"/>
      <c r="E232" s="889"/>
      <c r="F232" s="922" t="str">
        <f>IF(F222=$S$14,$T$11,IF(AND($O$3&lt;&gt;$U$3,ROUNDDOWN(F222,0)=$S$11),$U$11,$T$11))</f>
        <v>■レベル　3</v>
      </c>
      <c r="G232" s="3682" t="s">
        <v>2646</v>
      </c>
      <c r="H232" s="3730"/>
      <c r="I232" s="930" t="s">
        <v>2647</v>
      </c>
      <c r="J232" s="930" t="s">
        <v>2648</v>
      </c>
      <c r="K232" s="922" t="str">
        <f>IF(K222=$S$14,$T$11,IF(AND($O$3&lt;&gt;$U$3,ROUNDDOWN(K222,0)=$S$11),$U$11,$T$11))</f>
        <v>■レベル　3</v>
      </c>
      <c r="L232" s="3682" t="s">
        <v>2649</v>
      </c>
      <c r="M232" s="3726"/>
      <c r="N232" s="3682" t="s">
        <v>2641</v>
      </c>
      <c r="O232" s="3683"/>
    </row>
    <row r="233" spans="2:15" ht="48" customHeight="1">
      <c r="D233" s="888"/>
      <c r="E233" s="889"/>
      <c r="F233" s="922" t="str">
        <f>IF(F222=$S$14,$T$12,IF(AND($O$3&lt;&gt;$U$3,ROUNDDOWN(F222,0)=$S$12),$U$12,$T$12))</f>
        <v>　レベル　4</v>
      </c>
      <c r="G233" s="930"/>
      <c r="H233" s="932"/>
      <c r="I233" s="930"/>
      <c r="J233" s="930"/>
      <c r="K233" s="922" t="str">
        <f>IF(K222=$S$14,$T$12,IF(AND($O$3&lt;&gt;$U$3,ROUNDDOWN(K222,0)=$S$12),$U$12,$T$12))</f>
        <v>　レベル　4</v>
      </c>
      <c r="L233" s="930"/>
      <c r="M233" s="932"/>
      <c r="N233" s="3682" t="s">
        <v>2642</v>
      </c>
      <c r="O233" s="3683"/>
    </row>
    <row r="234" spans="2:15" ht="90.75" customHeight="1">
      <c r="D234" s="888"/>
      <c r="E234" s="889"/>
      <c r="F234" s="933" t="str">
        <f>IF(F222=$S$14,$T$13,IF(AND($O$3&lt;&gt;$U$3,ROUNDDOWN(F222,0)=$S$13),$U$13,$T$13))</f>
        <v>　レベル　5</v>
      </c>
      <c r="G234" s="3680" t="s">
        <v>2650</v>
      </c>
      <c r="H234" s="3731"/>
      <c r="I234" s="934" t="s">
        <v>2650</v>
      </c>
      <c r="J234" s="934" t="s">
        <v>2650</v>
      </c>
      <c r="K234" s="933" t="str">
        <f>IF(K222=$S$14,$T$13,IF(AND($O$3&lt;&gt;$U$3,ROUNDDOWN(K222,0)=$S$13),$U$13,$T$13))</f>
        <v>　レベル　5</v>
      </c>
      <c r="L234" s="3680" t="s">
        <v>2650</v>
      </c>
      <c r="M234" s="3710"/>
      <c r="N234" s="3680" t="s">
        <v>2645</v>
      </c>
      <c r="O234" s="3681"/>
    </row>
    <row r="235" spans="2:15" ht="13.5" customHeight="1">
      <c r="D235" s="888"/>
      <c r="E235" s="889"/>
      <c r="F235" s="1081"/>
      <c r="G235" s="1082"/>
      <c r="H235" s="1082"/>
      <c r="I235" s="975"/>
      <c r="J235" s="975"/>
      <c r="K235" s="975"/>
      <c r="L235" s="975"/>
      <c r="M235" s="975"/>
      <c r="N235" s="975"/>
      <c r="O235" s="975"/>
    </row>
    <row r="236" spans="2:15" ht="15.75">
      <c r="D236" s="888"/>
      <c r="E236" s="889"/>
      <c r="F236" s="1081"/>
      <c r="G236" s="1082"/>
      <c r="H236" s="1082"/>
      <c r="I236" s="975"/>
      <c r="J236" s="975"/>
      <c r="K236" s="975"/>
      <c r="L236" s="975"/>
      <c r="M236" s="975"/>
      <c r="N236" s="975"/>
      <c r="O236" s="975"/>
    </row>
    <row r="237" spans="2:15" ht="15.75">
      <c r="D237" s="1311">
        <v>2.2999999999999998</v>
      </c>
      <c r="E237" s="895" t="s">
        <v>218</v>
      </c>
      <c r="F237" s="899"/>
      <c r="G237" s="976"/>
      <c r="H237" s="1025"/>
      <c r="I237" s="1005"/>
      <c r="J237" s="979" t="str">
        <f>IF(OR(F239=0,AND(J238=0,O238=0)),$R$3,"")</f>
        <v/>
      </c>
      <c r="K237" s="1064"/>
      <c r="L237" s="976"/>
      <c r="M237" s="1025"/>
      <c r="N237" s="1005"/>
      <c r="O237" s="979"/>
    </row>
    <row r="238" spans="2:15" ht="16.5" thickBot="1">
      <c r="D238" s="1086"/>
      <c r="E238" s="895"/>
      <c r="F238" s="903" t="s">
        <v>380</v>
      </c>
      <c r="G238" s="904"/>
      <c r="H238" s="905"/>
      <c r="I238" s="906" t="s">
        <v>1121</v>
      </c>
      <c r="J238" s="909">
        <f>重み!M31</f>
        <v>0.3</v>
      </c>
      <c r="K238" s="903" t="s">
        <v>1611</v>
      </c>
      <c r="L238" s="904"/>
      <c r="M238" s="905"/>
      <c r="N238" s="906" t="s">
        <v>1121</v>
      </c>
      <c r="O238" s="909">
        <f>重み!N31</f>
        <v>4.7244094488188976E-3</v>
      </c>
    </row>
    <row r="239" spans="2:15" ht="16.5" thickBot="1">
      <c r="D239" s="1086"/>
      <c r="E239" s="895"/>
      <c r="F239" s="910">
        <v>4</v>
      </c>
      <c r="G239" s="1026" t="s">
        <v>2047</v>
      </c>
      <c r="H239" s="915"/>
      <c r="I239" s="1052" t="s">
        <v>2014</v>
      </c>
      <c r="J239" s="916"/>
      <c r="K239" s="910">
        <v>1</v>
      </c>
      <c r="L239" s="1026" t="s">
        <v>2192</v>
      </c>
      <c r="M239" s="916"/>
      <c r="N239" s="1026" t="s">
        <v>962</v>
      </c>
      <c r="O239" s="1031"/>
    </row>
    <row r="240" spans="2:15" ht="15.75" hidden="1">
      <c r="B240" s="1">
        <v>1</v>
      </c>
      <c r="C240" s="1">
        <v>1</v>
      </c>
      <c r="D240" s="1086"/>
      <c r="E240" s="895"/>
      <c r="F240" s="1065"/>
      <c r="G240" s="1026" t="s">
        <v>1038</v>
      </c>
      <c r="H240" s="915"/>
      <c r="I240" s="1026"/>
      <c r="J240" s="916"/>
      <c r="K240" s="1065"/>
      <c r="L240" s="915" t="s">
        <v>1038</v>
      </c>
      <c r="M240" s="1032"/>
      <c r="N240" s="1032"/>
      <c r="O240" s="1033"/>
    </row>
    <row r="241" spans="2:15" ht="53.25" customHeight="1">
      <c r="B241" s="1">
        <v>2</v>
      </c>
      <c r="C241" s="1">
        <v>2</v>
      </c>
      <c r="D241" s="1086"/>
      <c r="E241" s="895"/>
      <c r="F241" s="922" t="str">
        <f>IF(F239=$S$14,$T$9,IF(AND($O$3&lt;&gt;$U$3,ROUNDDOWN(F239,0)=$S$9),$U$9,$T$9))</f>
        <v>　レベル　1</v>
      </c>
      <c r="G241" s="3678" t="s">
        <v>1660</v>
      </c>
      <c r="H241" s="3684"/>
      <c r="I241" s="3678" t="s">
        <v>1660</v>
      </c>
      <c r="J241" s="3696"/>
      <c r="K241" s="922" t="str">
        <f>IF(K239=$S$14,$T$9,IF(AND($O$3&lt;&gt;$U$3,ROUNDDOWN(K239,0)=$S$9),$U$9,$T$9))</f>
        <v>■レベル　1</v>
      </c>
      <c r="L241" s="3678" t="s">
        <v>1660</v>
      </c>
      <c r="M241" s="3684"/>
      <c r="N241" s="3678" t="s">
        <v>2651</v>
      </c>
      <c r="O241" s="3696"/>
    </row>
    <row r="242" spans="2:15" ht="15.75">
      <c r="B242" s="1">
        <v>3</v>
      </c>
      <c r="C242" s="1">
        <v>3</v>
      </c>
      <c r="D242" s="1086"/>
      <c r="E242" s="895"/>
      <c r="F242" s="922" t="str">
        <f>IF(F239=$S$14,$T$10,IF(AND($O$3&lt;&gt;$U$3,ROUNDDOWN(F239,0)=$S$10),$U$10,$T$10))</f>
        <v>　レベル　2</v>
      </c>
      <c r="G242" s="930"/>
      <c r="H242" s="1066"/>
      <c r="I242" s="3682"/>
      <c r="J242" s="3683"/>
      <c r="K242" s="922" t="str">
        <f>IF(K239=$S$14,$T$10,IF(AND($O$3&lt;&gt;$U$3,ROUNDDOWN(K239,0)=$S$10),$U$10,$T$10))</f>
        <v>　レベル　2</v>
      </c>
      <c r="L242" s="930"/>
      <c r="M242" s="932"/>
      <c r="N242" s="930"/>
      <c r="O242" s="932"/>
    </row>
    <row r="243" spans="2:15" ht="55.5" customHeight="1">
      <c r="B243" s="1">
        <v>4</v>
      </c>
      <c r="C243" s="1">
        <v>4</v>
      </c>
      <c r="D243" s="1086"/>
      <c r="E243" s="895"/>
      <c r="F243" s="922" t="str">
        <f>IF(F239=$S$14,$T$11,IF(AND($O$3&lt;&gt;$U$3,ROUNDDOWN(F239,0)=$S$11),$U$11,$T$11))</f>
        <v>　レベル　3</v>
      </c>
      <c r="G243" s="3682" t="s">
        <v>2652</v>
      </c>
      <c r="H243" s="3683"/>
      <c r="I243" s="3682" t="s">
        <v>2653</v>
      </c>
      <c r="J243" s="3683"/>
      <c r="K243" s="922" t="str">
        <f>IF(K239=$S$14,$T$11,IF(AND($O$3&lt;&gt;$U$3,ROUNDDOWN(K239,0)=$S$11),$U$11,$T$11))</f>
        <v>　レベル　3</v>
      </c>
      <c r="L243" s="3682" t="s">
        <v>2652</v>
      </c>
      <c r="M243" s="3726"/>
      <c r="N243" s="3682" t="s">
        <v>2654</v>
      </c>
      <c r="O243" s="3683"/>
    </row>
    <row r="244" spans="2:15" ht="15.75">
      <c r="B244" s="1">
        <v>5</v>
      </c>
      <c r="C244" s="1">
        <v>5</v>
      </c>
      <c r="D244" s="1086"/>
      <c r="E244" s="895"/>
      <c r="F244" s="922" t="str">
        <f>IF(F239=$S$14,$T$12,IF(AND($O$3&lt;&gt;$U$3,ROUNDDOWN(F239,0)=$S$12),$U$12,$T$12))</f>
        <v>■レベル　4</v>
      </c>
      <c r="G244" s="930"/>
      <c r="H244" s="1066"/>
      <c r="I244" s="3682"/>
      <c r="J244" s="3683"/>
      <c r="K244" s="922" t="str">
        <f>IF(K239=$S$14,$T$12,IF(AND($O$3&lt;&gt;$U$3,ROUNDDOWN(K239,0)=$S$12),$U$12,$T$12))</f>
        <v>　レベル　4</v>
      </c>
      <c r="L244" s="930"/>
      <c r="M244" s="932"/>
      <c r="N244" s="3682"/>
      <c r="O244" s="3683"/>
    </row>
    <row r="245" spans="2:15" ht="61.5" customHeight="1">
      <c r="B245" s="940">
        <v>0</v>
      </c>
      <c r="C245" s="940">
        <v>0</v>
      </c>
      <c r="D245" s="1086"/>
      <c r="E245" s="895"/>
      <c r="F245" s="933" t="str">
        <f>IF(F239=$S$14,$T$13,IF(AND($O$3&lt;&gt;$U$3,ROUNDDOWN(F239,0)=$S$13),$U$13,$T$13))</f>
        <v>　レベル　5</v>
      </c>
      <c r="G245" s="3680" t="s">
        <v>1661</v>
      </c>
      <c r="H245" s="3681"/>
      <c r="I245" s="3680" t="s">
        <v>2655</v>
      </c>
      <c r="J245" s="3681"/>
      <c r="K245" s="933" t="str">
        <f>IF(K239=$S$14,$T$13,IF(AND($O$3&lt;&gt;$U$3,ROUNDDOWN(K239,0)=$S$13),$U$13,$T$13))</f>
        <v>　レベル　5</v>
      </c>
      <c r="L245" s="3680" t="s">
        <v>1661</v>
      </c>
      <c r="M245" s="3710"/>
      <c r="N245" s="3680" t="s">
        <v>2656</v>
      </c>
      <c r="O245" s="3681"/>
    </row>
    <row r="246" spans="2:15" ht="15.75" hidden="1">
      <c r="D246" s="1086"/>
      <c r="E246" s="895"/>
      <c r="F246" s="1088"/>
      <c r="G246" s="1071" t="s">
        <v>1037</v>
      </c>
      <c r="H246" s="1047"/>
      <c r="I246" s="1047"/>
      <c r="J246" s="1067"/>
      <c r="K246" s="1028"/>
      <c r="L246" s="1047" t="s">
        <v>1037</v>
      </c>
      <c r="M246" s="1047"/>
      <c r="N246" s="1047"/>
      <c r="O246" s="1067"/>
    </row>
    <row r="247" spans="2:15" ht="54" hidden="1" customHeight="1">
      <c r="D247" s="1086"/>
      <c r="E247" s="895"/>
      <c r="F247" s="1029" t="str">
        <f>IF(F239=$S$14,$T$9,IF(AND($O$3&lt;&gt;$U$3,ROUNDDOWN(F239,0)=$S$9),$U$9,$T$9))</f>
        <v>　レベル　1</v>
      </c>
      <c r="G247" s="3678" t="s">
        <v>1662</v>
      </c>
      <c r="H247" s="3696"/>
      <c r="I247" s="3678" t="s">
        <v>1662</v>
      </c>
      <c r="J247" s="3684"/>
      <c r="K247" s="1029" t="str">
        <f>IF(K239=$S$14,$T$9,IF(AND($O$3&lt;&gt;$U$3,ROUNDDOWN(K239,0)=$S$9),$U$9,$T$9))</f>
        <v>■レベル　1</v>
      </c>
      <c r="L247" s="3678" t="s">
        <v>1662</v>
      </c>
      <c r="M247" s="3684"/>
      <c r="N247" s="3678" t="s">
        <v>2657</v>
      </c>
      <c r="O247" s="3696"/>
    </row>
    <row r="248" spans="2:15" ht="15.75" hidden="1">
      <c r="D248" s="1086"/>
      <c r="E248" s="895"/>
      <c r="F248" s="922" t="str">
        <f>IF(F239=$S$14,$T$10,IF(AND($O$3&lt;&gt;$U$3,ROUNDDOWN(F239,0)=$S$10),$U$10,$T$10))</f>
        <v>　レベル　2</v>
      </c>
      <c r="G248" s="930"/>
      <c r="H248" s="1066"/>
      <c r="I248" s="930"/>
      <c r="J248" s="932"/>
      <c r="K248" s="922" t="str">
        <f>IF(K239=$S$14,$T$10,IF(AND($O$3&lt;&gt;$U$3,ROUNDDOWN(K239,0)=$S$10),$U$10,$T$10))</f>
        <v>　レベル　2</v>
      </c>
      <c r="L248" s="930"/>
      <c r="M248" s="932"/>
      <c r="N248" s="930"/>
      <c r="O248" s="932"/>
    </row>
    <row r="249" spans="2:15" ht="77.25" hidden="1" customHeight="1">
      <c r="D249" s="1086"/>
      <c r="E249" s="895"/>
      <c r="F249" s="922" t="str">
        <f>IF(F239=$S$14,$T$11,IF(AND($O$3&lt;&gt;$U$3,ROUNDDOWN(F239,0)=$S$11),$U$11,$T$11))</f>
        <v>　レベル　3</v>
      </c>
      <c r="G249" s="3682" t="s">
        <v>2658</v>
      </c>
      <c r="H249" s="3683"/>
      <c r="I249" s="3682" t="s">
        <v>2659</v>
      </c>
      <c r="J249" s="3726"/>
      <c r="K249" s="922" t="str">
        <f>IF(K239=$S$14,$T$11,IF(AND($O$3&lt;&gt;$U$3,ROUNDDOWN(K239,0)=$S$11),$U$11,$T$11))</f>
        <v>　レベル　3</v>
      </c>
      <c r="L249" s="3682" t="s">
        <v>2658</v>
      </c>
      <c r="M249" s="3726"/>
      <c r="N249" s="3682" t="s">
        <v>2660</v>
      </c>
      <c r="O249" s="3683"/>
    </row>
    <row r="250" spans="2:15" ht="15.75" hidden="1">
      <c r="D250" s="1086"/>
      <c r="E250" s="895"/>
      <c r="F250" s="922" t="str">
        <f>IF(F239=$S$14,$T$12,IF(AND($O$3&lt;&gt;$U$3,ROUNDDOWN(F239,0)=$S$12),$U$12,$T$12))</f>
        <v>■レベル　4</v>
      </c>
      <c r="G250" s="930"/>
      <c r="H250" s="1066"/>
      <c r="I250" s="930"/>
      <c r="J250" s="932"/>
      <c r="K250" s="922" t="str">
        <f>IF(K239=$S$14,$T$12,IF(AND($O$3&lt;&gt;$U$3,ROUNDDOWN(K239,0)=$S$12),$U$12,$T$12))</f>
        <v>　レベル　4</v>
      </c>
      <c r="L250" s="930"/>
      <c r="M250" s="932"/>
      <c r="N250" s="3682"/>
      <c r="O250" s="3683"/>
    </row>
    <row r="251" spans="2:15" ht="81" hidden="1" customHeight="1">
      <c r="D251" s="1086"/>
      <c r="E251" s="895"/>
      <c r="F251" s="933" t="str">
        <f>IF(F239=$S$14,$T$13,IF(AND($O$3&lt;&gt;$U$3,ROUNDDOWN(F239,0)=$S$13),$U$13,$T$13))</f>
        <v>　レベル　5</v>
      </c>
      <c r="G251" s="3680" t="s">
        <v>2661</v>
      </c>
      <c r="H251" s="3681"/>
      <c r="I251" s="3680" t="s">
        <v>2662</v>
      </c>
      <c r="J251" s="3710"/>
      <c r="K251" s="933" t="str">
        <f>IF(K239=$S$14,$T$13,IF(AND($O$3&lt;&gt;$U$3,ROUNDDOWN(K239,0)=$S$13),$U$13,$T$13))</f>
        <v>　レベル　5</v>
      </c>
      <c r="L251" s="3680" t="s">
        <v>2663</v>
      </c>
      <c r="M251" s="3710"/>
      <c r="N251" s="3680" t="s">
        <v>2664</v>
      </c>
      <c r="O251" s="3681"/>
    </row>
    <row r="252" spans="2:15" ht="15.75" hidden="1">
      <c r="D252" s="888"/>
      <c r="E252" s="1039"/>
      <c r="F252" s="1039"/>
      <c r="G252" s="1089" t="s">
        <v>2665</v>
      </c>
      <c r="H252" s="1090"/>
      <c r="I252" s="1090"/>
      <c r="J252" s="1090"/>
      <c r="K252" s="1090"/>
      <c r="L252" s="1090"/>
      <c r="M252" s="1090"/>
      <c r="N252" s="1090"/>
      <c r="O252" s="1090"/>
    </row>
    <row r="253" spans="2:15" ht="15.75" hidden="1">
      <c r="D253" s="888"/>
      <c r="E253" s="1039"/>
      <c r="F253" s="1039"/>
      <c r="G253" s="1089"/>
      <c r="H253" s="1090"/>
      <c r="I253" s="1090"/>
      <c r="J253" s="1090"/>
      <c r="K253" s="1090"/>
      <c r="L253" s="1090"/>
      <c r="M253" s="1090"/>
      <c r="N253" s="1090"/>
      <c r="O253" s="1090"/>
    </row>
    <row r="254" spans="2:15" ht="15.75" hidden="1">
      <c r="D254" s="888"/>
      <c r="E254" s="1039"/>
      <c r="F254" s="899" t="s">
        <v>2015</v>
      </c>
      <c r="G254" s="976"/>
      <c r="H254" s="1025"/>
      <c r="I254" s="1005"/>
      <c r="J254" s="979" t="str">
        <f>IF(OR(F256=0,J255=0),$R$3,"")</f>
        <v>&lt;評価しない&gt;</v>
      </c>
      <c r="K254" s="1064" t="s">
        <v>2016</v>
      </c>
      <c r="L254" s="976"/>
      <c r="M254" s="1025"/>
      <c r="N254" s="1005"/>
      <c r="O254" s="979" t="str">
        <f>IF(OR(K256=0,O255=0),$R$3,"")</f>
        <v>&lt;評価しない&gt;</v>
      </c>
    </row>
    <row r="255" spans="2:15" ht="16.5" hidden="1" thickBot="1">
      <c r="D255" s="888"/>
      <c r="E255" s="1039"/>
      <c r="F255" s="903" t="s">
        <v>1298</v>
      </c>
      <c r="G255" s="904"/>
      <c r="H255" s="905"/>
      <c r="I255" s="906" t="s">
        <v>1121</v>
      </c>
      <c r="J255" s="909">
        <f>重み!M33</f>
        <v>0</v>
      </c>
      <c r="K255" s="903" t="s">
        <v>1650</v>
      </c>
      <c r="L255" s="904"/>
      <c r="M255" s="905"/>
      <c r="N255" s="906" t="s">
        <v>1121</v>
      </c>
      <c r="O255" s="909">
        <f>重み!M34</f>
        <v>0</v>
      </c>
    </row>
    <row r="256" spans="2:15" ht="16.5" hidden="1" thickBot="1">
      <c r="D256" s="888"/>
      <c r="E256" s="1039"/>
      <c r="F256" s="910">
        <v>0</v>
      </c>
      <c r="G256" s="914" t="s">
        <v>2017</v>
      </c>
      <c r="H256" s="915"/>
      <c r="I256" s="915"/>
      <c r="J256" s="1052"/>
      <c r="K256" s="910">
        <v>0</v>
      </c>
      <c r="L256" s="914" t="s">
        <v>2017</v>
      </c>
      <c r="M256" s="915"/>
      <c r="N256" s="915"/>
      <c r="O256" s="1052"/>
    </row>
    <row r="257" spans="2:15" ht="15.75" hidden="1">
      <c r="B257" s="1">
        <v>1</v>
      </c>
      <c r="C257" s="1">
        <v>1</v>
      </c>
      <c r="D257" s="888"/>
      <c r="E257" s="1039"/>
      <c r="F257" s="917" t="str">
        <f>IF(F256=$S$14,$T$9,IF(ROUNDDOWN(F256,0)=$S$9,$U$9,$T$9))</f>
        <v>　レベル　1</v>
      </c>
      <c r="G257" s="3678" t="s">
        <v>1299</v>
      </c>
      <c r="H257" s="3698"/>
      <c r="I257" s="3698"/>
      <c r="J257" s="3684"/>
      <c r="K257" s="917" t="str">
        <f>IF(K256=$S$14,$T$9,IF(ROUNDDOWN(K256,0)=$S$9,$U$9,$T$9))</f>
        <v>　レベル　1</v>
      </c>
      <c r="L257" s="3678" t="s">
        <v>2018</v>
      </c>
      <c r="M257" s="3698"/>
      <c r="N257" s="3698"/>
      <c r="O257" s="3684"/>
    </row>
    <row r="258" spans="2:15" ht="15.75" hidden="1">
      <c r="B258" s="1">
        <v>2</v>
      </c>
      <c r="C258" s="1">
        <v>2</v>
      </c>
      <c r="D258" s="888"/>
      <c r="E258" s="1039"/>
      <c r="F258" s="922" t="str">
        <f>IF(F256=$S$14,$T$10,IF(ROUNDDOWN(F256,0)=$S$10,$U$10,$T$10))</f>
        <v>　レベル　2</v>
      </c>
      <c r="G258" s="3682"/>
      <c r="H258" s="3688"/>
      <c r="I258" s="3688"/>
      <c r="J258" s="3683"/>
      <c r="K258" s="922" t="str">
        <f>IF(K256=$S$14,$T$10,IF(ROUNDDOWN(K256,0)=$S$10,$U$10,$T$10))</f>
        <v>　レベル　2</v>
      </c>
      <c r="L258" s="3682" t="s">
        <v>2019</v>
      </c>
      <c r="M258" s="3688"/>
      <c r="N258" s="3688"/>
      <c r="O258" s="3683"/>
    </row>
    <row r="259" spans="2:15" ht="15.75" hidden="1">
      <c r="B259" s="1">
        <v>3</v>
      </c>
      <c r="C259" s="1">
        <v>3</v>
      </c>
      <c r="D259" s="888"/>
      <c r="E259" s="1039"/>
      <c r="F259" s="922" t="str">
        <f>IF(F256=$S$14,$T$11,IF(ROUNDDOWN(F256,0)=$S$11,$U$11,$T$11))</f>
        <v>　レベル　3</v>
      </c>
      <c r="G259" s="3682" t="s">
        <v>1300</v>
      </c>
      <c r="H259" s="3688"/>
      <c r="I259" s="3688"/>
      <c r="J259" s="3683"/>
      <c r="K259" s="922" t="str">
        <f>IF(K256=$S$14,$T$11,IF(ROUNDDOWN(K256,0)=$S$11,$U$11,$T$11))</f>
        <v>　レベル　3</v>
      </c>
      <c r="L259" s="3682" t="s">
        <v>2020</v>
      </c>
      <c r="M259" s="3688"/>
      <c r="N259" s="3688"/>
      <c r="O259" s="3683"/>
    </row>
    <row r="260" spans="2:15" ht="15.75" hidden="1">
      <c r="B260" s="1">
        <v>4</v>
      </c>
      <c r="C260" s="1">
        <v>4</v>
      </c>
      <c r="D260" s="888"/>
      <c r="E260" s="1039"/>
      <c r="F260" s="922" t="str">
        <f>IF(F256=$S$14,$T$12,IF(ROUNDDOWN(F256,0)=$S$12,$U$12,$T$12))</f>
        <v>　レベル　4</v>
      </c>
      <c r="G260" s="3682"/>
      <c r="H260" s="3688"/>
      <c r="I260" s="3688"/>
      <c r="J260" s="3683"/>
      <c r="K260" s="922" t="str">
        <f>IF(K256=$S$14,$T$12,IF(ROUNDDOWN(K256,0)=$S$12,$U$12,$T$12))</f>
        <v>　レベル　4</v>
      </c>
      <c r="L260" s="3682" t="s">
        <v>2021</v>
      </c>
      <c r="M260" s="3688"/>
      <c r="N260" s="3688"/>
      <c r="O260" s="3683"/>
    </row>
    <row r="261" spans="2:15" ht="15.75" hidden="1">
      <c r="B261" s="1">
        <v>5</v>
      </c>
      <c r="C261" s="1">
        <v>5</v>
      </c>
      <c r="D261" s="888"/>
      <c r="E261" s="1039"/>
      <c r="F261" s="933" t="str">
        <f>IF(F256=$S$14,$T$13,IF(ROUNDDOWN(F256,0)=$S$13,$U$13,$T$13))</f>
        <v>　レベル　5</v>
      </c>
      <c r="G261" s="3680" t="s">
        <v>2022</v>
      </c>
      <c r="H261" s="3687"/>
      <c r="I261" s="3687"/>
      <c r="J261" s="3681"/>
      <c r="K261" s="933" t="str">
        <f>IF(K256=$S$14,$T$13,IF(ROUNDDOWN(K256,0)=$S$13,$U$13,$T$13))</f>
        <v>　レベル　5</v>
      </c>
      <c r="L261" s="3680" t="s">
        <v>2023</v>
      </c>
      <c r="M261" s="3687"/>
      <c r="N261" s="3687"/>
      <c r="O261" s="3681"/>
    </row>
    <row r="262" spans="2:15" ht="15.75">
      <c r="B262" s="940">
        <v>0</v>
      </c>
      <c r="C262" s="940">
        <v>0</v>
      </c>
      <c r="D262" s="888"/>
      <c r="E262" s="1039"/>
      <c r="F262" s="1039"/>
      <c r="G262" s="1089"/>
      <c r="H262" s="1090"/>
      <c r="I262" s="1090"/>
      <c r="J262" s="1090"/>
      <c r="K262" s="1090"/>
      <c r="L262" s="1090"/>
      <c r="M262" s="1090"/>
      <c r="N262" s="1090"/>
      <c r="O262" s="1090"/>
    </row>
    <row r="263" spans="2:15" ht="15.75">
      <c r="D263" s="1311">
        <v>3</v>
      </c>
      <c r="E263" s="1022" t="s">
        <v>712</v>
      </c>
      <c r="F263" s="896"/>
      <c r="G263" s="1024"/>
      <c r="H263" s="1024"/>
      <c r="I263" s="1024"/>
      <c r="J263" s="1024"/>
      <c r="K263" s="1024"/>
      <c r="L263" s="1024"/>
      <c r="M263" s="1024"/>
      <c r="N263" s="1024"/>
      <c r="O263" s="1024"/>
    </row>
    <row r="264" spans="2:15" ht="15.75">
      <c r="D264" s="1311">
        <v>3.1</v>
      </c>
      <c r="E264" s="1022" t="s">
        <v>713</v>
      </c>
      <c r="F264" s="896"/>
      <c r="G264" s="1023"/>
      <c r="H264" s="1024"/>
      <c r="I264" s="1091"/>
      <c r="J264" s="1091"/>
      <c r="K264" s="1024"/>
      <c r="L264" s="1023"/>
      <c r="M264" s="1024"/>
      <c r="N264" s="1024"/>
      <c r="O264" s="1024"/>
    </row>
    <row r="265" spans="2:15" ht="15.75">
      <c r="D265" s="888"/>
      <c r="E265" s="893"/>
      <c r="F265" s="899" t="s">
        <v>714</v>
      </c>
      <c r="G265" s="976"/>
      <c r="H265" s="1025"/>
      <c r="I265" s="1005"/>
      <c r="J265" s="979" t="str">
        <f>IF(OR(F267=0,AND(J266=0,O266=0)),$R$3,"")</f>
        <v/>
      </c>
      <c r="K265" s="1064"/>
      <c r="L265" s="976"/>
      <c r="M265" s="1025"/>
      <c r="N265" s="1005"/>
      <c r="O265" s="979"/>
    </row>
    <row r="266" spans="2:15" ht="16.5" thickBot="1">
      <c r="D266" s="888"/>
      <c r="E266" s="893"/>
      <c r="F266" s="903" t="s">
        <v>1456</v>
      </c>
      <c r="G266" s="904"/>
      <c r="H266" s="905"/>
      <c r="I266" s="906" t="s">
        <v>1121</v>
      </c>
      <c r="J266" s="909">
        <f>重み!M37</f>
        <v>0.6</v>
      </c>
      <c r="K266" s="903" t="s">
        <v>1611</v>
      </c>
      <c r="L266" s="904"/>
      <c r="M266" s="905"/>
      <c r="N266" s="906" t="s">
        <v>1121</v>
      </c>
      <c r="O266" s="909">
        <f>重み!N37</f>
        <v>7.874015748031496E-3</v>
      </c>
    </row>
    <row r="267" spans="2:15" ht="16.5" thickBot="1">
      <c r="D267" s="888"/>
      <c r="E267" s="893"/>
      <c r="F267" s="910">
        <v>3</v>
      </c>
      <c r="G267" s="3018" t="s">
        <v>3804</v>
      </c>
      <c r="H267" s="915"/>
      <c r="I267" s="915"/>
      <c r="J267" s="916"/>
      <c r="K267" s="910">
        <v>3</v>
      </c>
      <c r="L267" s="1026" t="s">
        <v>909</v>
      </c>
      <c r="M267" s="916"/>
      <c r="N267" s="1026" t="s">
        <v>1556</v>
      </c>
      <c r="O267" s="916"/>
    </row>
    <row r="268" spans="2:15" ht="15.75">
      <c r="B268" s="1">
        <v>1</v>
      </c>
      <c r="C268" s="1">
        <v>1</v>
      </c>
      <c r="D268" s="888"/>
      <c r="E268" s="893"/>
      <c r="F268" s="917" t="str">
        <f>IF(F267=$S$14,$T$9,IF(ROUNDDOWN(F267,0)=$S$9,$U$9,$T$9))</f>
        <v>　レベル　1</v>
      </c>
      <c r="G268" s="3678" t="s">
        <v>716</v>
      </c>
      <c r="H268" s="3698"/>
      <c r="I268" s="3698"/>
      <c r="J268" s="3684"/>
      <c r="K268" s="917" t="str">
        <f>IF(K267=$S$14,$T$9,IF(ROUNDDOWN(K267,0)=$S$9,$U$9,$T$9))</f>
        <v>　レベル　1</v>
      </c>
      <c r="L268" s="3678" t="s">
        <v>1301</v>
      </c>
      <c r="M268" s="3696"/>
      <c r="N268" s="3678" t="s">
        <v>717</v>
      </c>
      <c r="O268" s="3696"/>
    </row>
    <row r="269" spans="2:15" ht="15.75" customHeight="1">
      <c r="B269" s="1">
        <v>2</v>
      </c>
      <c r="C269" s="1">
        <v>2</v>
      </c>
      <c r="D269" s="888"/>
      <c r="E269" s="893"/>
      <c r="F269" s="922" t="str">
        <f>IF(F267=$S$14,$T$10,IF(ROUNDDOWN(F267,0)=$S$10,$U$10,$T$10))</f>
        <v>　レベル　2</v>
      </c>
      <c r="G269" s="3682" t="s">
        <v>718</v>
      </c>
      <c r="H269" s="3699"/>
      <c r="I269" s="3699"/>
      <c r="J269" s="3726"/>
      <c r="K269" s="922" t="str">
        <f>IF(K267=$S$14,$T$10,IF(ROUNDDOWN(K267,0)=$S$10,$U$10,$T$10))</f>
        <v>　レベル　2</v>
      </c>
      <c r="L269" s="3682" t="s">
        <v>719</v>
      </c>
      <c r="M269" s="3683"/>
      <c r="N269" s="3682" t="s">
        <v>720</v>
      </c>
      <c r="O269" s="3683"/>
    </row>
    <row r="270" spans="2:15" ht="15.75" customHeight="1">
      <c r="B270" s="1">
        <v>3</v>
      </c>
      <c r="C270" s="1">
        <v>3</v>
      </c>
      <c r="D270" s="888"/>
      <c r="E270" s="893"/>
      <c r="F270" s="922" t="str">
        <f>IF(F267=$S$14,$T$11,IF(ROUNDDOWN(F267,0)=$S$11,$U$11,$T$11))</f>
        <v>■レベル　3</v>
      </c>
      <c r="G270" s="3716" t="s">
        <v>721</v>
      </c>
      <c r="H270" s="3717"/>
      <c r="I270" s="3717"/>
      <c r="J270" s="3718"/>
      <c r="K270" s="922" t="str">
        <f>IF(K267=$S$14,$T$11,IF(ROUNDDOWN(K267,0)=$S$11,$U$11,$T$11))</f>
        <v>■レベル　3</v>
      </c>
      <c r="L270" s="3682" t="s">
        <v>1302</v>
      </c>
      <c r="M270" s="3683"/>
      <c r="N270" s="3682" t="s">
        <v>718</v>
      </c>
      <c r="O270" s="3683"/>
    </row>
    <row r="271" spans="2:15" ht="15.75" customHeight="1">
      <c r="B271" s="1">
        <v>4</v>
      </c>
      <c r="C271" s="1">
        <v>4</v>
      </c>
      <c r="D271" s="888"/>
      <c r="E271" s="893"/>
      <c r="F271" s="922" t="str">
        <f>IF(F267=$S$14,$T$12,IF(ROUNDDOWN(F267,0)=$S$12,$U$12,$T$12))</f>
        <v>　レベル　4</v>
      </c>
      <c r="G271" s="3682" t="s">
        <v>722</v>
      </c>
      <c r="H271" s="3699"/>
      <c r="I271" s="3699"/>
      <c r="J271" s="3726"/>
      <c r="K271" s="922" t="str">
        <f>IF(K267=$S$14,$T$12,IF(ROUNDDOWN(K267,0)=$S$12,$U$12,$T$12))</f>
        <v>　レベル　4</v>
      </c>
      <c r="L271" s="3682" t="s">
        <v>2351</v>
      </c>
      <c r="M271" s="3683"/>
      <c r="N271" s="3682" t="s">
        <v>721</v>
      </c>
      <c r="O271" s="3683"/>
    </row>
    <row r="272" spans="2:15" ht="15.75">
      <c r="B272" s="1">
        <v>5</v>
      </c>
      <c r="C272" s="1">
        <v>5</v>
      </c>
      <c r="D272" s="888"/>
      <c r="E272" s="893"/>
      <c r="F272" s="933" t="str">
        <f>IF(F267=$S$14,$T$13,IF(ROUNDDOWN(F267,0)=$S$13,$U$13,$T$13))</f>
        <v>　レベル　5</v>
      </c>
      <c r="G272" s="3707" t="s">
        <v>723</v>
      </c>
      <c r="H272" s="3727"/>
      <c r="I272" s="3727"/>
      <c r="J272" s="3728"/>
      <c r="K272" s="933" t="str">
        <f>IF(K267=$S$14,$T$13,IF(ROUNDDOWN(K267,0)=$S$13,$U$13,$T$13))</f>
        <v>　レベル　5</v>
      </c>
      <c r="L272" s="3680" t="s">
        <v>2352</v>
      </c>
      <c r="M272" s="3681"/>
      <c r="N272" s="3680" t="s">
        <v>2353</v>
      </c>
      <c r="O272" s="3681"/>
    </row>
    <row r="273" spans="2:15" ht="15.75">
      <c r="B273" s="940">
        <v>0</v>
      </c>
      <c r="C273" s="940">
        <v>0</v>
      </c>
      <c r="D273" s="888"/>
      <c r="E273" s="893"/>
      <c r="F273" s="1060"/>
      <c r="G273" s="1061"/>
      <c r="H273" s="1042"/>
      <c r="I273" s="1061"/>
      <c r="J273" s="1061"/>
      <c r="K273" s="1062"/>
      <c r="L273" s="1063"/>
      <c r="M273" s="1063"/>
      <c r="N273" s="1061"/>
      <c r="O273" s="1061"/>
    </row>
    <row r="274" spans="2:15" ht="15.75">
      <c r="D274" s="888"/>
      <c r="E274" s="893"/>
      <c r="F274" s="899" t="s">
        <v>724</v>
      </c>
      <c r="G274" s="976"/>
      <c r="H274" s="1025"/>
      <c r="I274" s="1005"/>
      <c r="J274" s="979" t="str">
        <f>IF(OR(F276=0,J275=0),$R$3,"")</f>
        <v>&lt;評価しない&gt;</v>
      </c>
      <c r="K274" s="1062"/>
      <c r="L274" s="1063"/>
      <c r="M274" s="1063"/>
      <c r="N274" s="1061"/>
      <c r="O274" s="1061"/>
    </row>
    <row r="275" spans="2:15" ht="16.5" thickBot="1">
      <c r="D275" s="888"/>
      <c r="E275" s="893"/>
      <c r="F275" s="903" t="s">
        <v>2354</v>
      </c>
      <c r="G275" s="904"/>
      <c r="H275" s="905"/>
      <c r="I275" s="906" t="s">
        <v>1121</v>
      </c>
      <c r="J275" s="909">
        <f>重み!N38</f>
        <v>4.7244094488188976E-3</v>
      </c>
      <c r="K275" s="1062"/>
      <c r="L275" s="1063"/>
      <c r="M275" s="1063"/>
      <c r="N275" s="1061"/>
      <c r="O275" s="1061"/>
    </row>
    <row r="276" spans="2:15" ht="16.5" thickBot="1">
      <c r="D276" s="888"/>
      <c r="E276" s="893"/>
      <c r="F276" s="910">
        <v>0</v>
      </c>
      <c r="G276" s="1026" t="s">
        <v>1556</v>
      </c>
      <c r="H276" s="915"/>
      <c r="I276" s="915"/>
      <c r="J276" s="916"/>
      <c r="K276" s="1062"/>
      <c r="L276" s="1063"/>
      <c r="M276" s="1063"/>
      <c r="N276" s="1061"/>
      <c r="O276" s="1061"/>
    </row>
    <row r="277" spans="2:15" ht="15.75">
      <c r="B277" s="1">
        <v>1</v>
      </c>
      <c r="C277" s="1">
        <v>1</v>
      </c>
      <c r="D277" s="888"/>
      <c r="E277" s="893"/>
      <c r="F277" s="917" t="str">
        <f>IF(F276=$S$14,$T$9,IF(ROUNDDOWN(F276,0)=$S$9,$U$9,$T$9))</f>
        <v>　レベル　1</v>
      </c>
      <c r="G277" s="3678" t="s">
        <v>725</v>
      </c>
      <c r="H277" s="3698"/>
      <c r="I277" s="3698"/>
      <c r="J277" s="3684"/>
      <c r="K277" s="1062"/>
      <c r="L277" s="1063"/>
      <c r="M277" s="1063"/>
      <c r="N277" s="1061"/>
      <c r="O277" s="1061"/>
    </row>
    <row r="278" spans="2:15" ht="15.75">
      <c r="B278" s="1" t="s">
        <v>2355</v>
      </c>
      <c r="C278" s="1">
        <v>2</v>
      </c>
      <c r="D278" s="888"/>
      <c r="E278" s="893"/>
      <c r="F278" s="922" t="str">
        <f>IF(F276=$S$14,$T$10,IF(ROUNDDOWN(F276,0)=$S$10,$U$10,$T$10))</f>
        <v>　レベル　2</v>
      </c>
      <c r="G278" s="3682" t="s">
        <v>1788</v>
      </c>
      <c r="H278" s="3699"/>
      <c r="I278" s="3699"/>
      <c r="J278" s="3726"/>
      <c r="K278" s="1062"/>
      <c r="L278" s="1063"/>
      <c r="M278" s="1063"/>
      <c r="N278" s="1061"/>
      <c r="O278" s="1061"/>
    </row>
    <row r="279" spans="2:15" ht="15.75">
      <c r="B279" s="1">
        <v>3</v>
      </c>
      <c r="C279" s="1">
        <v>3</v>
      </c>
      <c r="D279" s="888"/>
      <c r="E279" s="893"/>
      <c r="F279" s="922" t="str">
        <f>IF(F276=$S$14,$T$11,IF(ROUNDDOWN(F276,0)=$S$11,$U$11,$T$11))</f>
        <v>　レベル　3</v>
      </c>
      <c r="G279" s="3682" t="s">
        <v>726</v>
      </c>
      <c r="H279" s="3699"/>
      <c r="I279" s="3699"/>
      <c r="J279" s="3726"/>
      <c r="K279" s="1062"/>
      <c r="L279" s="1063"/>
      <c r="M279" s="1063"/>
      <c r="N279" s="1061"/>
      <c r="O279" s="1061"/>
    </row>
    <row r="280" spans="2:15" ht="15.75">
      <c r="B280" s="1" t="s">
        <v>2355</v>
      </c>
      <c r="C280" s="1">
        <v>4</v>
      </c>
      <c r="D280" s="888"/>
      <c r="E280" s="893"/>
      <c r="F280" s="922" t="str">
        <f>IF(F276=$S$14,$T$12,IF(ROUNDDOWN(F276,0)=$S$12,$U$12,$T$12))</f>
        <v>　レベル　4</v>
      </c>
      <c r="G280" s="3682" t="s">
        <v>1788</v>
      </c>
      <c r="H280" s="3699"/>
      <c r="I280" s="3699"/>
      <c r="J280" s="3726"/>
      <c r="K280" s="1062"/>
      <c r="L280" s="1063"/>
      <c r="M280" s="1063"/>
      <c r="N280" s="1061"/>
      <c r="O280" s="1061"/>
    </row>
    <row r="281" spans="2:15" ht="15.75">
      <c r="B281" s="1">
        <v>5</v>
      </c>
      <c r="C281" s="1">
        <v>5</v>
      </c>
      <c r="D281" s="888"/>
      <c r="E281" s="893"/>
      <c r="F281" s="933" t="str">
        <f>IF(F276=$S$14,$T$13,IF(ROUNDDOWN(F276,0)=$S$13,$U$13,$T$13))</f>
        <v>　レベル　5</v>
      </c>
      <c r="G281" s="3707" t="s">
        <v>2666</v>
      </c>
      <c r="H281" s="3727"/>
      <c r="I281" s="3727"/>
      <c r="J281" s="3728"/>
      <c r="K281" s="1062"/>
      <c r="L281" s="1063"/>
      <c r="M281" s="1063"/>
      <c r="N281" s="1061"/>
      <c r="O281" s="1061"/>
    </row>
    <row r="282" spans="2:15" ht="15.75">
      <c r="B282" s="940">
        <v>0</v>
      </c>
      <c r="C282" s="940">
        <v>0</v>
      </c>
      <c r="D282" s="888"/>
      <c r="E282" s="893"/>
      <c r="F282" s="1060"/>
      <c r="G282" s="1061"/>
      <c r="H282" s="1042"/>
      <c r="I282" s="1061"/>
      <c r="J282" s="1061"/>
      <c r="K282" s="1062"/>
      <c r="L282" s="1063"/>
      <c r="M282" s="1063"/>
      <c r="N282" s="1061"/>
      <c r="O282" s="1061"/>
    </row>
    <row r="283" spans="2:15" ht="15.75">
      <c r="D283" s="888"/>
      <c r="E283" s="893"/>
      <c r="F283" s="899" t="s">
        <v>727</v>
      </c>
      <c r="G283" s="976"/>
      <c r="H283" s="1025"/>
      <c r="I283" s="1005"/>
      <c r="J283" s="979" t="str">
        <f>IF(OR(F285=0,AND(J284=0,O284=0)),$R$3,"")</f>
        <v>&lt;評価しない&gt;</v>
      </c>
      <c r="K283" s="1064"/>
      <c r="L283" s="976"/>
      <c r="M283" s="1025"/>
      <c r="N283" s="1005"/>
      <c r="O283" s="979"/>
    </row>
    <row r="284" spans="2:15" ht="16.5" thickBot="1">
      <c r="D284" s="888"/>
      <c r="E284" s="1038"/>
      <c r="F284" s="903" t="s">
        <v>2356</v>
      </c>
      <c r="G284" s="904"/>
      <c r="H284" s="905"/>
      <c r="I284" s="906" t="s">
        <v>1121</v>
      </c>
      <c r="J284" s="909">
        <f>重み!M39</f>
        <v>0.4</v>
      </c>
      <c r="K284" s="903" t="s">
        <v>1611</v>
      </c>
      <c r="L284" s="904"/>
      <c r="M284" s="905"/>
      <c r="N284" s="906" t="s">
        <v>1121</v>
      </c>
      <c r="O284" s="909">
        <f>重み!N39</f>
        <v>3.1496062992125984E-3</v>
      </c>
    </row>
    <row r="285" spans="2:15" ht="16.5" thickBot="1">
      <c r="D285" s="888"/>
      <c r="E285" s="1038"/>
      <c r="F285" s="910">
        <v>0</v>
      </c>
      <c r="G285" s="1026" t="s">
        <v>728</v>
      </c>
      <c r="H285" s="915"/>
      <c r="I285" s="3018" t="s">
        <v>3805</v>
      </c>
      <c r="J285" s="916"/>
      <c r="K285" s="910">
        <v>0</v>
      </c>
      <c r="L285" s="1026" t="s">
        <v>729</v>
      </c>
      <c r="M285" s="916"/>
      <c r="N285" s="1026"/>
      <c r="O285" s="1031"/>
    </row>
    <row r="286" spans="2:15" ht="15.75" customHeight="1">
      <c r="B286" s="1" t="s">
        <v>2357</v>
      </c>
      <c r="C286" s="1" t="s">
        <v>2357</v>
      </c>
      <c r="D286" s="888"/>
      <c r="E286" s="1039"/>
      <c r="F286" s="917" t="str">
        <f>IF(F285=$S$14,$T$9,IF(ROUNDDOWN(F285,0)=$S$9,$U$9,$T$9))</f>
        <v>　レベル　1</v>
      </c>
      <c r="G286" s="3678" t="s">
        <v>1788</v>
      </c>
      <c r="H286" s="3684"/>
      <c r="I286" s="3678" t="s">
        <v>1788</v>
      </c>
      <c r="J286" s="3696"/>
      <c r="K286" s="917" t="str">
        <f>IF(K285=$S$14,$T$9,IF(ROUNDDOWN(K285,0)=$S$9,$U$9,$T$9))</f>
        <v>　レベル　1</v>
      </c>
      <c r="L286" s="3678" t="s">
        <v>1788</v>
      </c>
      <c r="M286" s="3698"/>
      <c r="N286" s="3698"/>
      <c r="O286" s="3684"/>
    </row>
    <row r="287" spans="2:15" ht="15.75" customHeight="1">
      <c r="B287" s="1" t="s">
        <v>2357</v>
      </c>
      <c r="C287" s="1" t="s">
        <v>2357</v>
      </c>
      <c r="D287" s="888"/>
      <c r="E287" s="1039"/>
      <c r="F287" s="922" t="str">
        <f>IF(F285=$S$14,$T$10,IF(ROUNDDOWN(F285,0)=$S$10,$U$10,$T$10))</f>
        <v>　レベル　2</v>
      </c>
      <c r="G287" s="3682" t="s">
        <v>1788</v>
      </c>
      <c r="H287" s="3683"/>
      <c r="I287" s="3682" t="s">
        <v>1788</v>
      </c>
      <c r="J287" s="3683"/>
      <c r="K287" s="922" t="str">
        <f>IF(K285=$S$14,$T$10,IF(ROUNDDOWN(K285,0)=$S$10,$U$10,$T$10))</f>
        <v>　レベル　2</v>
      </c>
      <c r="L287" s="3716" t="s">
        <v>1788</v>
      </c>
      <c r="M287" s="3717"/>
      <c r="N287" s="3717"/>
      <c r="O287" s="3718"/>
    </row>
    <row r="288" spans="2:15" ht="15.75" customHeight="1">
      <c r="B288" s="1">
        <v>3</v>
      </c>
      <c r="C288" s="1">
        <v>3</v>
      </c>
      <c r="D288" s="888"/>
      <c r="E288" s="1039"/>
      <c r="F288" s="922" t="str">
        <f>IF(F285=$S$14,$T$11,IF(ROUNDDOWN(F285,0)=$S$11,$U$11,$T$11))</f>
        <v>　レベル　3</v>
      </c>
      <c r="G288" s="3682" t="s">
        <v>730</v>
      </c>
      <c r="H288" s="3683"/>
      <c r="I288" s="3682" t="s">
        <v>2358</v>
      </c>
      <c r="J288" s="3683"/>
      <c r="K288" s="922" t="str">
        <f>IF(K285=$S$14,$T$11,IF(ROUNDDOWN(K285,0)=$S$11,$U$11,$T$11))</f>
        <v>　レベル　3</v>
      </c>
      <c r="L288" s="3716" t="s">
        <v>2358</v>
      </c>
      <c r="M288" s="3717"/>
      <c r="N288" s="3717"/>
      <c r="O288" s="3718"/>
    </row>
    <row r="289" spans="1:15" ht="15.75" customHeight="1">
      <c r="B289" s="1">
        <v>4</v>
      </c>
      <c r="C289" s="1" t="s">
        <v>2357</v>
      </c>
      <c r="D289" s="888"/>
      <c r="E289" s="1039"/>
      <c r="F289" s="922" t="str">
        <f>IF(F285=$S$14,$T$12,IF(ROUNDDOWN(F285,0)=$S$12,$U$12,$T$12))</f>
        <v>　レベル　4</v>
      </c>
      <c r="G289" s="3682" t="s">
        <v>731</v>
      </c>
      <c r="H289" s="3683"/>
      <c r="I289" s="3682" t="s">
        <v>1788</v>
      </c>
      <c r="J289" s="3683"/>
      <c r="K289" s="922" t="str">
        <f>IF(K285=$S$14,$T$12,IF(ROUNDDOWN(K285,0)=$S$12,$U$12,$T$12))</f>
        <v>　レベル　4</v>
      </c>
      <c r="L289" s="3716" t="s">
        <v>1788</v>
      </c>
      <c r="M289" s="3717"/>
      <c r="N289" s="3717"/>
      <c r="O289" s="3718"/>
    </row>
    <row r="290" spans="1:15" ht="33.75" customHeight="1">
      <c r="B290" s="1">
        <v>5</v>
      </c>
      <c r="C290" s="1">
        <v>5</v>
      </c>
      <c r="D290" s="888"/>
      <c r="E290" s="1039"/>
      <c r="F290" s="933" t="str">
        <f>IF(F285=$S$14,$T$13,IF(ROUNDDOWN(F285,0)=$S$13,$U$13,$T$13))</f>
        <v>　レベル　5</v>
      </c>
      <c r="G290" s="3680" t="s">
        <v>2667</v>
      </c>
      <c r="H290" s="3681"/>
      <c r="I290" s="3680" t="s">
        <v>1244</v>
      </c>
      <c r="J290" s="3681"/>
      <c r="K290" s="933" t="str">
        <f>IF(K285=$S$14,$T$13,IF(ROUNDDOWN(K285,0)=$S$13,$U$13,$T$13))</f>
        <v>　レベル　5</v>
      </c>
      <c r="L290" s="3707" t="s">
        <v>1244</v>
      </c>
      <c r="M290" s="3727"/>
      <c r="N290" s="3727"/>
      <c r="O290" s="3728"/>
    </row>
    <row r="291" spans="1:15" s="2513" customFormat="1" ht="18" customHeight="1">
      <c r="A291" s="2510"/>
      <c r="B291" s="940">
        <v>0</v>
      </c>
      <c r="C291" s="940">
        <v>0</v>
      </c>
      <c r="D291" s="2512"/>
      <c r="F291" s="2514" t="s">
        <v>2535</v>
      </c>
      <c r="G291" s="2515"/>
      <c r="H291" s="2515"/>
      <c r="I291" s="2515"/>
      <c r="J291" s="2515"/>
      <c r="K291" s="2515"/>
      <c r="L291" s="2515"/>
      <c r="M291" s="2515"/>
      <c r="N291" s="2515"/>
      <c r="O291" s="2515"/>
    </row>
    <row r="292" spans="1:15" s="2513" customFormat="1" ht="18" customHeight="1" thickBot="1">
      <c r="A292" s="2510"/>
      <c r="B292" s="2516"/>
      <c r="C292" s="2516"/>
      <c r="D292" s="2510"/>
      <c r="E292" s="2510"/>
      <c r="F292" s="2517" t="s">
        <v>2536</v>
      </c>
      <c r="G292" s="2518"/>
      <c r="H292" s="2518"/>
      <c r="I292" s="2518"/>
      <c r="J292" s="2518"/>
      <c r="K292" s="2517" t="s">
        <v>2537</v>
      </c>
      <c r="L292" s="2518"/>
      <c r="M292" s="2518"/>
      <c r="N292" s="2518"/>
      <c r="O292" s="2519"/>
    </row>
    <row r="293" spans="1:15" s="2513" customFormat="1" ht="30" customHeight="1" thickBot="1">
      <c r="A293" s="2510"/>
      <c r="B293" s="2511"/>
      <c r="C293" s="2511"/>
      <c r="D293" s="2512"/>
      <c r="F293" s="2520" t="s">
        <v>2196</v>
      </c>
      <c r="G293" s="3732" t="s">
        <v>2538</v>
      </c>
      <c r="H293" s="3733"/>
      <c r="I293" s="3733"/>
      <c r="J293" s="3734"/>
      <c r="K293" s="2520" t="s">
        <v>2196</v>
      </c>
      <c r="L293" s="3735" t="s">
        <v>2539</v>
      </c>
      <c r="M293" s="3736"/>
      <c r="N293" s="3736"/>
      <c r="O293" s="3737"/>
    </row>
    <row r="294" spans="1:15" ht="15.75">
      <c r="D294" s="888"/>
      <c r="E294" s="889"/>
      <c r="F294" s="889"/>
      <c r="G294" s="975"/>
      <c r="H294" s="975"/>
      <c r="I294" s="975"/>
      <c r="J294" s="975"/>
      <c r="K294" s="975"/>
      <c r="L294" s="975"/>
      <c r="M294" s="975"/>
      <c r="N294" s="975"/>
      <c r="O294" s="975"/>
    </row>
    <row r="295" spans="1:15" ht="15.75">
      <c r="D295" s="1311">
        <v>3.2</v>
      </c>
      <c r="E295" s="1022" t="s">
        <v>732</v>
      </c>
      <c r="F295" s="896"/>
      <c r="G295" s="1023"/>
      <c r="H295" s="1024"/>
      <c r="I295" s="1024"/>
      <c r="J295" s="1024"/>
      <c r="K295" s="1024"/>
      <c r="L295" s="1023"/>
      <c r="M295" s="1024"/>
      <c r="N295" s="1024"/>
      <c r="O295" s="1024"/>
    </row>
    <row r="296" spans="1:15" ht="15.75" hidden="1">
      <c r="D296" s="888"/>
      <c r="E296" s="893"/>
      <c r="F296" s="2263" t="s">
        <v>733</v>
      </c>
      <c r="G296" s="976"/>
      <c r="H296" s="1025"/>
      <c r="I296" s="1005"/>
      <c r="J296" s="979" t="str">
        <f>IF(OR(F298=0,AND(J297=0,O297=0)),$R$3,"")</f>
        <v>&lt;評価しない&gt;</v>
      </c>
      <c r="K296" s="1064"/>
      <c r="L296" s="976"/>
      <c r="M296" s="1025"/>
      <c r="N296" s="1005"/>
      <c r="O296" s="979"/>
    </row>
    <row r="297" spans="1:15" ht="16.5" hidden="1" thickBot="1">
      <c r="D297" s="888"/>
      <c r="E297" s="893"/>
      <c r="F297" s="903" t="s">
        <v>1245</v>
      </c>
      <c r="G297" s="904"/>
      <c r="H297" s="905"/>
      <c r="I297" s="906" t="s">
        <v>1121</v>
      </c>
      <c r="J297" s="909">
        <f>重み!M41</f>
        <v>0</v>
      </c>
      <c r="K297" s="903" t="s">
        <v>1611</v>
      </c>
      <c r="L297" s="904"/>
      <c r="M297" s="905"/>
      <c r="N297" s="906" t="s">
        <v>1121</v>
      </c>
      <c r="O297" s="909">
        <f>重み!N41</f>
        <v>0</v>
      </c>
    </row>
    <row r="298" spans="1:15" ht="16.5" hidden="1" thickBot="1">
      <c r="D298" s="888"/>
      <c r="E298" s="893"/>
      <c r="F298" s="910">
        <v>0</v>
      </c>
      <c r="G298" s="1026" t="s">
        <v>715</v>
      </c>
      <c r="H298" s="915"/>
      <c r="I298" s="1026"/>
      <c r="J298" s="916"/>
      <c r="K298" s="910">
        <v>0</v>
      </c>
      <c r="L298" s="1026" t="s">
        <v>729</v>
      </c>
      <c r="M298" s="916"/>
      <c r="N298" s="1026"/>
      <c r="O298" s="1031"/>
    </row>
    <row r="299" spans="1:15" ht="15.75" hidden="1">
      <c r="B299" s="1">
        <v>1</v>
      </c>
      <c r="C299" s="1">
        <v>1</v>
      </c>
      <c r="D299" s="888"/>
      <c r="E299" s="893"/>
      <c r="F299" s="917" t="str">
        <f>IF(F298=$S$14,$T$9,IF(ROUNDDOWN(F298,0)=$S$9,$U$9,$T$9))</f>
        <v>　レベル　1</v>
      </c>
      <c r="G299" s="3678" t="s">
        <v>2668</v>
      </c>
      <c r="H299" s="3698"/>
      <c r="I299" s="3698"/>
      <c r="J299" s="3684"/>
      <c r="K299" s="917" t="str">
        <f>IF(K298=$S$14,$T$9,IF(ROUNDDOWN(K298,0)=$S$9,$U$9,$T$9))</f>
        <v>　レベル　1</v>
      </c>
      <c r="L299" s="3678" t="s">
        <v>640</v>
      </c>
      <c r="M299" s="3698"/>
      <c r="N299" s="3698"/>
      <c r="O299" s="3684"/>
    </row>
    <row r="300" spans="1:15" ht="15.75" hidden="1">
      <c r="B300" s="1" t="s">
        <v>1246</v>
      </c>
      <c r="C300" s="1" t="s">
        <v>1246</v>
      </c>
      <c r="D300" s="888"/>
      <c r="E300" s="893"/>
      <c r="F300" s="922" t="str">
        <f>IF(F298=$S$14,$T$10,IF(ROUNDDOWN(F298,0)=$S$10,$U$10,$T$10))</f>
        <v>　レベル　2</v>
      </c>
      <c r="G300" s="3716" t="s">
        <v>1788</v>
      </c>
      <c r="H300" s="3717"/>
      <c r="I300" s="3717"/>
      <c r="J300" s="3718"/>
      <c r="K300" s="922" t="str">
        <f>IF(K298=$S$14,$T$10,IF(ROUNDDOWN(K298,0)=$S$10,$U$10,$T$10))</f>
        <v>　レベル　2</v>
      </c>
      <c r="L300" s="3716" t="s">
        <v>1788</v>
      </c>
      <c r="M300" s="3717"/>
      <c r="N300" s="3717"/>
      <c r="O300" s="3718"/>
    </row>
    <row r="301" spans="1:15" ht="15.75" hidden="1">
      <c r="B301" s="1">
        <v>3</v>
      </c>
      <c r="C301" s="1">
        <v>3</v>
      </c>
      <c r="D301" s="888"/>
      <c r="E301" s="893"/>
      <c r="F301" s="922" t="str">
        <f>IF(F298=$S$14,$T$11,IF(ROUNDDOWN(F298,0)=$S$11,$U$11,$T$11))</f>
        <v>　レベル　3</v>
      </c>
      <c r="G301" s="3738" t="s">
        <v>2669</v>
      </c>
      <c r="H301" s="3739"/>
      <c r="I301" s="3739"/>
      <c r="J301" s="3740"/>
      <c r="K301" s="922" t="str">
        <f>IF(K298=$S$14,$T$11,IF(ROUNDDOWN(K298,0)=$S$11,$U$11,$T$11))</f>
        <v>　レベル　3</v>
      </c>
      <c r="L301" s="3738" t="s">
        <v>1247</v>
      </c>
      <c r="M301" s="3739"/>
      <c r="N301" s="3739"/>
      <c r="O301" s="3740"/>
    </row>
    <row r="302" spans="1:15" ht="15.75" hidden="1">
      <c r="B302" s="1" t="s">
        <v>1246</v>
      </c>
      <c r="C302" s="1" t="s">
        <v>1246</v>
      </c>
      <c r="D302" s="888"/>
      <c r="E302" s="893"/>
      <c r="F302" s="922" t="str">
        <f>IF(F298=$S$14,$T$12,IF(ROUNDDOWN(F298,0)=$S$12,$U$12,$T$12))</f>
        <v>　レベル　4</v>
      </c>
      <c r="G302" s="3716" t="s">
        <v>1788</v>
      </c>
      <c r="H302" s="3717"/>
      <c r="I302" s="3717"/>
      <c r="J302" s="3718"/>
      <c r="K302" s="922" t="str">
        <f>IF(K298=$S$14,$T$12,IF(ROUNDDOWN(K298,0)=$S$12,$U$12,$T$12))</f>
        <v>　レベル　4</v>
      </c>
      <c r="L302" s="3716" t="s">
        <v>1788</v>
      </c>
      <c r="M302" s="3717"/>
      <c r="N302" s="3717"/>
      <c r="O302" s="3718"/>
    </row>
    <row r="303" spans="1:15" ht="15.75" hidden="1">
      <c r="B303" s="1">
        <v>5</v>
      </c>
      <c r="C303" s="1">
        <v>5</v>
      </c>
      <c r="D303" s="888"/>
      <c r="E303" s="893"/>
      <c r="F303" s="933" t="str">
        <f>IF(F298=$S$14,$T$13,IF(ROUNDDOWN(F298,0)=$S$13,$U$13,$T$13))</f>
        <v>　レベル　5</v>
      </c>
      <c r="G303" s="3707" t="s">
        <v>2670</v>
      </c>
      <c r="H303" s="3727"/>
      <c r="I303" s="3727"/>
      <c r="J303" s="3728"/>
      <c r="K303" s="933" t="str">
        <f>IF(K298=$S$14,$T$13,IF(ROUNDDOWN(K298,0)=$S$13,$U$13,$T$13))</f>
        <v>　レベル　5</v>
      </c>
      <c r="L303" s="3707" t="s">
        <v>2671</v>
      </c>
      <c r="M303" s="3727"/>
      <c r="N303" s="3727"/>
      <c r="O303" s="3728"/>
    </row>
    <row r="304" spans="1:15" ht="15.75" hidden="1">
      <c r="B304" s="940">
        <v>0</v>
      </c>
      <c r="C304" s="940">
        <v>0</v>
      </c>
      <c r="D304" s="888"/>
      <c r="E304" s="1092"/>
      <c r="F304" s="1092"/>
      <c r="G304" s="1093"/>
      <c r="H304" s="1093"/>
      <c r="I304" s="1093"/>
      <c r="J304" s="1093"/>
      <c r="K304" s="1093"/>
      <c r="L304" s="1093"/>
      <c r="M304" s="1093"/>
      <c r="N304" s="1093"/>
      <c r="O304" s="1093"/>
    </row>
    <row r="305" spans="1:15" ht="15.75">
      <c r="D305" s="888"/>
      <c r="E305" s="1092"/>
      <c r="F305" s="899" t="s">
        <v>2404</v>
      </c>
      <c r="G305" s="976"/>
      <c r="H305" s="1025"/>
      <c r="I305" s="1005"/>
      <c r="J305" s="979" t="str">
        <f>IF(OR(F307=0,AND(J306=0,O306=0)),$R$3,"")</f>
        <v/>
      </c>
      <c r="K305" s="1064"/>
      <c r="L305" s="976"/>
      <c r="M305" s="1025"/>
      <c r="N305" s="1005"/>
      <c r="O305" s="979"/>
    </row>
    <row r="306" spans="1:15" ht="16.5" thickBot="1">
      <c r="D306" s="888"/>
      <c r="E306" s="1092"/>
      <c r="F306" s="903" t="s">
        <v>1090</v>
      </c>
      <c r="G306" s="904"/>
      <c r="H306" s="905"/>
      <c r="I306" s="906" t="s">
        <v>1121</v>
      </c>
      <c r="J306" s="909">
        <f>重み!M42</f>
        <v>1</v>
      </c>
      <c r="K306" s="903" t="s">
        <v>1611</v>
      </c>
      <c r="L306" s="904"/>
      <c r="M306" s="905"/>
      <c r="N306" s="906" t="s">
        <v>1121</v>
      </c>
      <c r="O306" s="909">
        <f>重み!N42</f>
        <v>1.5748031496062992E-2</v>
      </c>
    </row>
    <row r="307" spans="1:15" ht="16.5" thickBot="1">
      <c r="D307" s="888"/>
      <c r="E307" s="1092"/>
      <c r="F307" s="910">
        <v>3</v>
      </c>
      <c r="G307" s="1026" t="s">
        <v>377</v>
      </c>
      <c r="H307" s="915"/>
      <c r="I307" s="1026" t="s">
        <v>378</v>
      </c>
      <c r="J307" s="916"/>
      <c r="K307" s="910">
        <v>3</v>
      </c>
      <c r="L307" s="1026" t="s">
        <v>729</v>
      </c>
      <c r="M307" s="916"/>
      <c r="N307" s="1026"/>
      <c r="O307" s="1031"/>
    </row>
    <row r="308" spans="1:15" ht="15.75">
      <c r="B308" s="1">
        <v>1</v>
      </c>
      <c r="C308" s="1">
        <v>1</v>
      </c>
      <c r="D308" s="888"/>
      <c r="E308" s="1092"/>
      <c r="F308" s="917" t="str">
        <f>IF(F307=$S$14,$T$9,IF(ROUNDDOWN(F307,0)=$S$9,$U$9,$T$9))</f>
        <v>　レベル　1</v>
      </c>
      <c r="G308" s="3678" t="s">
        <v>1248</v>
      </c>
      <c r="H308" s="3684"/>
      <c r="I308" s="3678" t="s">
        <v>1248</v>
      </c>
      <c r="J308" s="3684"/>
      <c r="K308" s="917" t="str">
        <f>IF(K307=$S$14,$T$9,IF(ROUNDDOWN(K307,0)=$S$9,$U$9,$T$9))</f>
        <v>　レベル　1</v>
      </c>
      <c r="L308" s="3678" t="s">
        <v>379</v>
      </c>
      <c r="M308" s="3698"/>
      <c r="N308" s="3698"/>
      <c r="O308" s="3684"/>
    </row>
    <row r="309" spans="1:15" ht="33.75" customHeight="1">
      <c r="B309" s="1">
        <v>2</v>
      </c>
      <c r="C309" s="1" t="s">
        <v>2357</v>
      </c>
      <c r="D309" s="888"/>
      <c r="E309" s="1092"/>
      <c r="F309" s="922" t="str">
        <f>IF(F307=$S$14,$T$10,IF(ROUNDDOWN(F307,0)=$S$10,$U$10,$T$10))</f>
        <v>　レベル　2</v>
      </c>
      <c r="G309" s="3682" t="s">
        <v>2672</v>
      </c>
      <c r="H309" s="3683"/>
      <c r="I309" s="3682" t="s">
        <v>1788</v>
      </c>
      <c r="J309" s="3683"/>
      <c r="K309" s="922" t="str">
        <f>IF(K307=$S$14,$T$10,IF(ROUNDDOWN(K307,0)=$S$10,$U$10,$T$10))</f>
        <v>　レベル　2</v>
      </c>
      <c r="L309" s="3716" t="s">
        <v>1788</v>
      </c>
      <c r="M309" s="3717"/>
      <c r="N309" s="3717"/>
      <c r="O309" s="3718"/>
    </row>
    <row r="310" spans="1:15" ht="53.25" customHeight="1">
      <c r="B310" s="1">
        <v>3</v>
      </c>
      <c r="C310" s="1">
        <v>3</v>
      </c>
      <c r="D310" s="888"/>
      <c r="E310" s="1092"/>
      <c r="F310" s="922" t="str">
        <f>IF(F307=$S$14,$T$11,IF(ROUNDDOWN(F307,0)=$S$11,$U$11,$T$11))</f>
        <v>■レベル　3</v>
      </c>
      <c r="G310" s="3682" t="s">
        <v>2673</v>
      </c>
      <c r="H310" s="3683"/>
      <c r="I310" s="3682" t="s">
        <v>2674</v>
      </c>
      <c r="J310" s="3683"/>
      <c r="K310" s="922" t="str">
        <f>IF(K307=$S$14,$T$11,IF(ROUNDDOWN(K307,0)=$S$11,$U$11,$T$11))</f>
        <v>■レベル　3</v>
      </c>
      <c r="L310" s="3716" t="s">
        <v>2674</v>
      </c>
      <c r="M310" s="3717"/>
      <c r="N310" s="3717"/>
      <c r="O310" s="3718"/>
    </row>
    <row r="311" spans="1:15" ht="47.25" customHeight="1">
      <c r="B311" s="1">
        <v>4</v>
      </c>
      <c r="C311" s="1">
        <v>4</v>
      </c>
      <c r="D311" s="888"/>
      <c r="E311" s="1092"/>
      <c r="F311" s="922" t="str">
        <f>IF(F307=$S$14,$T$12,IF(ROUNDDOWN(F307,0)=$S$12,$U$12,$T$12))</f>
        <v>　レベル　4</v>
      </c>
      <c r="G311" s="3682" t="s">
        <v>2675</v>
      </c>
      <c r="H311" s="3683"/>
      <c r="I311" s="3682" t="s">
        <v>2676</v>
      </c>
      <c r="J311" s="3683"/>
      <c r="K311" s="922" t="str">
        <f>IF(K307=$S$14,$T$12,IF(ROUNDDOWN(K307,0)=$S$12,$U$12,$T$12))</f>
        <v>　レベル　4</v>
      </c>
      <c r="L311" s="3716" t="s">
        <v>2676</v>
      </c>
      <c r="M311" s="3717"/>
      <c r="N311" s="3717"/>
      <c r="O311" s="3718"/>
    </row>
    <row r="312" spans="1:15" ht="42.75" customHeight="1">
      <c r="B312" s="1">
        <v>5</v>
      </c>
      <c r="C312" s="1">
        <v>5</v>
      </c>
      <c r="D312" s="888"/>
      <c r="E312" s="1092"/>
      <c r="F312" s="933" t="str">
        <f>IF(F307=$S$14,$T$13,IF(ROUNDDOWN(F307,0)=$S$13,$U$13,$T$13))</f>
        <v>　レベル　5</v>
      </c>
      <c r="G312" s="3680" t="s">
        <v>14</v>
      </c>
      <c r="H312" s="3681"/>
      <c r="I312" s="3680" t="s">
        <v>2677</v>
      </c>
      <c r="J312" s="3681"/>
      <c r="K312" s="933" t="str">
        <f>IF(K307=$S$14,$T$13,IF(ROUNDDOWN(K307,0)=$S$13,$U$13,$T$13))</f>
        <v>　レベル　5</v>
      </c>
      <c r="L312" s="3707" t="s">
        <v>2677</v>
      </c>
      <c r="M312" s="3727"/>
      <c r="N312" s="3727"/>
      <c r="O312" s="3728"/>
    </row>
    <row r="313" spans="1:15" s="2513" customFormat="1" ht="16.5" customHeight="1">
      <c r="A313" s="2510"/>
      <c r="B313" s="940">
        <v>0</v>
      </c>
      <c r="C313" s="940">
        <v>0</v>
      </c>
      <c r="D313" s="2512"/>
      <c r="F313" s="2514" t="s">
        <v>2535</v>
      </c>
      <c r="G313" s="2515"/>
      <c r="H313" s="2515"/>
      <c r="I313" s="2515"/>
      <c r="J313" s="2515"/>
      <c r="K313" s="2515"/>
      <c r="L313" s="2515"/>
      <c r="M313" s="2515"/>
      <c r="N313" s="2515"/>
      <c r="O313" s="2515"/>
    </row>
    <row r="314" spans="1:15" s="2513" customFormat="1" ht="16.5" customHeight="1" thickBot="1">
      <c r="A314" s="2510"/>
      <c r="B314" s="2516"/>
      <c r="C314" s="2516"/>
      <c r="D314" s="2510"/>
      <c r="E314" s="2510"/>
      <c r="F314" s="2517" t="s">
        <v>2540</v>
      </c>
      <c r="G314" s="2518"/>
      <c r="H314" s="2518"/>
      <c r="I314" s="2518"/>
      <c r="J314" s="2518"/>
      <c r="K314" s="2517" t="s">
        <v>2541</v>
      </c>
      <c r="L314" s="2518"/>
      <c r="M314" s="2518"/>
      <c r="N314" s="2518"/>
      <c r="O314" s="2519"/>
    </row>
    <row r="315" spans="1:15" s="2513" customFormat="1" ht="30" customHeight="1" thickBot="1">
      <c r="A315" s="2510"/>
      <c r="B315" s="2511"/>
      <c r="C315" s="2511"/>
      <c r="D315" s="2512"/>
      <c r="F315" s="2520" t="s">
        <v>2195</v>
      </c>
      <c r="G315" s="3732" t="s">
        <v>2542</v>
      </c>
      <c r="H315" s="3733"/>
      <c r="I315" s="3733"/>
      <c r="J315" s="3734"/>
      <c r="K315" s="2520"/>
      <c r="L315" s="3735" t="s">
        <v>2539</v>
      </c>
      <c r="M315" s="3736"/>
      <c r="N315" s="3736"/>
      <c r="O315" s="3737"/>
    </row>
    <row r="316" spans="1:15" ht="15.75">
      <c r="D316" s="888"/>
      <c r="E316" s="1092"/>
      <c r="F316" s="1092"/>
      <c r="G316" s="1093"/>
      <c r="H316" s="1093"/>
      <c r="I316" s="1093"/>
      <c r="J316" s="1093"/>
      <c r="K316" s="1093"/>
      <c r="L316" s="1093"/>
      <c r="M316" s="1093"/>
      <c r="N316" s="1093"/>
      <c r="O316" s="1093"/>
    </row>
    <row r="317" spans="1:15" ht="15.75">
      <c r="D317" s="888"/>
      <c r="E317" s="1092"/>
      <c r="F317" s="899" t="s">
        <v>2405</v>
      </c>
      <c r="G317" s="976"/>
      <c r="H317" s="1025"/>
      <c r="I317" s="1005"/>
      <c r="J317" s="979" t="str">
        <f>IF(OR(F319=0,J318=0),$R$3,"")</f>
        <v>&lt;評価しない&gt;</v>
      </c>
      <c r="K317" s="1093"/>
      <c r="L317" s="1093"/>
      <c r="M317" s="1093"/>
      <c r="N317" s="1093"/>
      <c r="O317" s="1093"/>
    </row>
    <row r="318" spans="1:15" ht="16.5" hidden="1" thickBot="1">
      <c r="B318" s="1094" t="s">
        <v>614</v>
      </c>
      <c r="D318" s="888"/>
      <c r="E318" s="1092"/>
      <c r="F318" s="903" t="s">
        <v>232</v>
      </c>
      <c r="G318" s="904"/>
      <c r="H318" s="905"/>
      <c r="I318" s="906" t="s">
        <v>1121</v>
      </c>
      <c r="J318" s="909">
        <f>重み!M43</f>
        <v>0</v>
      </c>
      <c r="K318" s="1093"/>
      <c r="L318" s="1093"/>
      <c r="M318" s="1093"/>
      <c r="N318" s="1093"/>
      <c r="O318" s="1093"/>
    </row>
    <row r="319" spans="1:15" ht="16.5" hidden="1" thickBot="1">
      <c r="D319" s="888"/>
      <c r="E319" s="1092"/>
      <c r="F319" s="910">
        <v>0</v>
      </c>
      <c r="G319" s="1026" t="s">
        <v>381</v>
      </c>
      <c r="H319" s="915"/>
      <c r="I319" s="915"/>
      <c r="J319" s="916"/>
      <c r="K319" s="1093"/>
      <c r="L319" s="1093"/>
      <c r="M319" s="1093"/>
      <c r="N319" s="1093"/>
      <c r="O319" s="1093"/>
    </row>
    <row r="320" spans="1:15" ht="15.75" hidden="1">
      <c r="B320" s="1">
        <v>1</v>
      </c>
      <c r="C320" s="1">
        <v>1</v>
      </c>
      <c r="D320" s="888"/>
      <c r="E320" s="1092"/>
      <c r="F320" s="917" t="str">
        <f>IF(F319=$S$14,$T$9,IF(ROUNDDOWN(F319,0)=$S$9,$U$9,$T$9))</f>
        <v>　レベル　1</v>
      </c>
      <c r="G320" s="3678" t="s">
        <v>1249</v>
      </c>
      <c r="H320" s="3698"/>
      <c r="I320" s="3698"/>
      <c r="J320" s="3684"/>
      <c r="K320" s="1093"/>
      <c r="L320" s="1093"/>
      <c r="M320" s="1093"/>
      <c r="N320" s="1093"/>
      <c r="O320" s="1093"/>
    </row>
    <row r="321" spans="2:15" ht="15.75" hidden="1">
      <c r="B321" s="1" t="s">
        <v>2357</v>
      </c>
      <c r="C321" s="1">
        <v>2</v>
      </c>
      <c r="D321" s="888"/>
      <c r="E321" s="1092"/>
      <c r="F321" s="922" t="str">
        <f>IF(F319=$S$14,$T$10,IF(ROUNDDOWN(F319,0)=$S$10,$U$10,$T$10))</f>
        <v>　レベル　2</v>
      </c>
      <c r="G321" s="3716" t="s">
        <v>1788</v>
      </c>
      <c r="H321" s="3717"/>
      <c r="I321" s="3717"/>
      <c r="J321" s="3718"/>
      <c r="K321" s="1093"/>
      <c r="L321" s="1093"/>
      <c r="M321" s="1093"/>
      <c r="N321" s="1093"/>
      <c r="O321" s="1093"/>
    </row>
    <row r="322" spans="2:15" ht="15.75" hidden="1">
      <c r="B322" s="1">
        <v>3</v>
      </c>
      <c r="C322" s="1">
        <v>3</v>
      </c>
      <c r="D322" s="888"/>
      <c r="E322" s="1092"/>
      <c r="F322" s="922" t="str">
        <f>IF(F319=$S$14,$T$11,IF(ROUNDDOWN(F319,0)=$S$11,$U$11,$T$11))</f>
        <v>　レベル　3</v>
      </c>
      <c r="G322" s="3716" t="s">
        <v>1250</v>
      </c>
      <c r="H322" s="3717"/>
      <c r="I322" s="3717"/>
      <c r="J322" s="3718"/>
      <c r="K322" s="1093"/>
      <c r="L322" s="1093"/>
      <c r="M322" s="1093"/>
      <c r="N322" s="1093"/>
      <c r="O322" s="1093"/>
    </row>
    <row r="323" spans="2:15" ht="15.75" hidden="1">
      <c r="B323" s="1" t="s">
        <v>2357</v>
      </c>
      <c r="C323" s="1">
        <v>4</v>
      </c>
      <c r="D323" s="888"/>
      <c r="E323" s="1092"/>
      <c r="F323" s="922" t="str">
        <f>IF(F319=$S$14,$T$12,IF(ROUNDDOWN(F319,0)=$S$12,$U$12,$T$12))</f>
        <v>　レベル　4</v>
      </c>
      <c r="G323" s="3716" t="s">
        <v>1788</v>
      </c>
      <c r="H323" s="3717"/>
      <c r="I323" s="3717"/>
      <c r="J323" s="3718"/>
      <c r="K323" s="1093"/>
      <c r="L323" s="1093"/>
      <c r="M323" s="1093"/>
      <c r="N323" s="1093"/>
      <c r="O323" s="1093"/>
    </row>
    <row r="324" spans="2:15" ht="15.75" hidden="1">
      <c r="B324" s="1">
        <v>5</v>
      </c>
      <c r="C324" s="1">
        <v>5</v>
      </c>
      <c r="D324" s="888"/>
      <c r="E324" s="1092"/>
      <c r="F324" s="933" t="str">
        <f>IF(F319=$S$14,$T$13,IF(ROUNDDOWN(F319,0)=$S$13,$U$13,$T$13))</f>
        <v>　レベル　5</v>
      </c>
      <c r="G324" s="3707" t="s">
        <v>2678</v>
      </c>
      <c r="H324" s="3727"/>
      <c r="I324" s="3727"/>
      <c r="J324" s="3728"/>
      <c r="K324" s="1093"/>
      <c r="L324" s="1093"/>
      <c r="M324" s="1093"/>
      <c r="N324" s="1093"/>
      <c r="O324" s="1093"/>
    </row>
    <row r="325" spans="2:15" ht="15.75" hidden="1">
      <c r="B325" s="940">
        <v>0</v>
      </c>
      <c r="C325" s="940">
        <v>0</v>
      </c>
      <c r="D325" s="888"/>
      <c r="E325" s="1092"/>
      <c r="F325" s="1092"/>
      <c r="G325" s="1095" t="s">
        <v>382</v>
      </c>
      <c r="H325" s="1096"/>
      <c r="I325" s="1096"/>
      <c r="J325" s="1096"/>
      <c r="K325" s="1096"/>
      <c r="L325" s="1096"/>
      <c r="M325" s="1093"/>
      <c r="N325" s="1093"/>
      <c r="O325" s="1093"/>
    </row>
    <row r="326" spans="2:15" ht="15.75" hidden="1">
      <c r="D326" s="888"/>
      <c r="E326" s="1092"/>
      <c r="F326" s="1092"/>
      <c r="G326" s="1097" t="s">
        <v>383</v>
      </c>
      <c r="H326" s="1097" t="s">
        <v>1251</v>
      </c>
      <c r="I326" s="1098"/>
      <c r="J326" s="1098"/>
      <c r="K326" s="1098"/>
      <c r="L326" s="1099"/>
      <c r="M326" s="1093"/>
      <c r="N326" s="1093"/>
      <c r="O326" s="1093"/>
    </row>
    <row r="327" spans="2:15" ht="15.75" hidden="1">
      <c r="D327" s="888"/>
      <c r="E327" s="1092"/>
      <c r="F327" s="1092"/>
      <c r="G327" s="1097" t="s">
        <v>384</v>
      </c>
      <c r="H327" s="1097" t="s">
        <v>2679</v>
      </c>
      <c r="I327" s="1098"/>
      <c r="J327" s="1098"/>
      <c r="K327" s="1098"/>
      <c r="L327" s="1099"/>
      <c r="M327" s="1093"/>
      <c r="N327" s="1093"/>
      <c r="O327" s="1093"/>
    </row>
    <row r="328" spans="2:15" ht="15.75" hidden="1">
      <c r="D328" s="888"/>
      <c r="E328" s="1092"/>
      <c r="F328" s="1092"/>
      <c r="G328" s="1097" t="s">
        <v>385</v>
      </c>
      <c r="H328" s="1097" t="s">
        <v>2680</v>
      </c>
      <c r="I328" s="1098"/>
      <c r="J328" s="1098"/>
      <c r="K328" s="1098"/>
      <c r="L328" s="1099"/>
      <c r="M328" s="1093"/>
      <c r="N328" s="1093"/>
      <c r="O328" s="1093"/>
    </row>
    <row r="329" spans="2:15" ht="15.75" hidden="1">
      <c r="D329" s="888"/>
      <c r="E329" s="1092"/>
      <c r="F329" s="1092"/>
      <c r="G329" s="1097" t="s">
        <v>386</v>
      </c>
      <c r="H329" s="1097" t="s">
        <v>2681</v>
      </c>
      <c r="I329" s="1097"/>
      <c r="J329" s="1098"/>
      <c r="K329" s="1098"/>
      <c r="L329" s="1099"/>
      <c r="M329" s="1093"/>
      <c r="N329" s="1093"/>
      <c r="O329" s="1093"/>
    </row>
    <row r="330" spans="2:15" ht="14.25">
      <c r="D330" s="2309"/>
      <c r="E330" s="1100"/>
      <c r="F330" s="896"/>
      <c r="G330" s="1023"/>
      <c r="H330" s="1024"/>
      <c r="I330" s="1024"/>
      <c r="J330" s="1024"/>
      <c r="K330" s="1024"/>
      <c r="L330" s="1023"/>
      <c r="M330" s="1024"/>
      <c r="N330" s="1024"/>
      <c r="O330" s="1093"/>
    </row>
    <row r="331" spans="2:15" ht="15.75">
      <c r="D331" s="1311">
        <v>3.3</v>
      </c>
      <c r="E331" s="1022" t="s">
        <v>803</v>
      </c>
      <c r="F331" s="1044"/>
      <c r="G331" s="976"/>
      <c r="H331" s="976"/>
      <c r="I331" s="1025"/>
      <c r="J331" s="979" t="str">
        <f>IF(OR(F333=0,AND(J332=0,O332=0)),$R$3,"")</f>
        <v/>
      </c>
      <c r="K331" s="1005"/>
      <c r="L331" s="1005"/>
      <c r="M331" s="975"/>
      <c r="N331" s="1005"/>
      <c r="O331" s="1005"/>
    </row>
    <row r="332" spans="2:15" ht="16.5" thickBot="1">
      <c r="D332" s="888"/>
      <c r="E332" s="893"/>
      <c r="F332" s="2283" t="s">
        <v>1252</v>
      </c>
      <c r="G332" s="1046"/>
      <c r="H332" s="1047"/>
      <c r="I332" s="906" t="s">
        <v>1121</v>
      </c>
      <c r="J332" s="904">
        <f>重み!M44</f>
        <v>0.15</v>
      </c>
      <c r="K332" s="1046"/>
      <c r="L332" s="1048"/>
      <c r="M332" s="2284" t="s">
        <v>1611</v>
      </c>
      <c r="N332" s="906" t="s">
        <v>1121</v>
      </c>
      <c r="O332" s="908">
        <f>重み!N44</f>
        <v>2.3622047244094488E-3</v>
      </c>
    </row>
    <row r="333" spans="2:15" ht="16.5" thickBot="1">
      <c r="D333" s="888"/>
      <c r="E333" s="893"/>
      <c r="F333" s="910">
        <v>3</v>
      </c>
      <c r="G333" s="3018" t="s">
        <v>3806</v>
      </c>
      <c r="H333" s="916"/>
      <c r="I333" s="1031" t="s">
        <v>1253</v>
      </c>
      <c r="J333" s="1050" t="s">
        <v>1254</v>
      </c>
      <c r="K333" s="1050" t="s">
        <v>1255</v>
      </c>
      <c r="L333" s="1051" t="s">
        <v>1556</v>
      </c>
      <c r="M333" s="910">
        <v>3</v>
      </c>
      <c r="N333" s="1026" t="s">
        <v>1256</v>
      </c>
      <c r="O333" s="1052" t="s">
        <v>387</v>
      </c>
    </row>
    <row r="334" spans="2:15" ht="22.5" customHeight="1">
      <c r="B334" s="1">
        <v>1</v>
      </c>
      <c r="C334" s="1">
        <v>1</v>
      </c>
      <c r="D334" s="888"/>
      <c r="E334" s="893"/>
      <c r="F334" s="917" t="str">
        <f>IF(F333=$S$14,$T$9,IF(ROUNDDOWN(F333,0)=$S$9,$U$9,$T$9))</f>
        <v>　レベル　1</v>
      </c>
      <c r="G334" s="3678" t="s">
        <v>1496</v>
      </c>
      <c r="H334" s="3684"/>
      <c r="I334" s="1101" t="s">
        <v>875</v>
      </c>
      <c r="J334" s="983" t="s">
        <v>876</v>
      </c>
      <c r="K334" s="1101" t="s">
        <v>877</v>
      </c>
      <c r="L334" s="1101" t="s">
        <v>877</v>
      </c>
      <c r="M334" s="917" t="str">
        <f>IF(M333=$S$14,$T$9,IF(ROUNDDOWN(M333,0)=$S$9,$U$9,$T$9))</f>
        <v>　レベル　1</v>
      </c>
      <c r="N334" s="918" t="s">
        <v>878</v>
      </c>
      <c r="O334" s="1102" t="s">
        <v>877</v>
      </c>
    </row>
    <row r="335" spans="2:15" ht="32.25" customHeight="1">
      <c r="B335" s="1">
        <v>2</v>
      </c>
      <c r="C335" s="1" t="s">
        <v>2355</v>
      </c>
      <c r="D335" s="888"/>
      <c r="E335" s="893"/>
      <c r="F335" s="922" t="str">
        <f>IF(F333=$S$14,$T$10,IF(ROUNDDOWN(F333,0)=$S$10,$U$10,$T$10))</f>
        <v>　レベル　2</v>
      </c>
      <c r="G335" s="3682" t="s">
        <v>2682</v>
      </c>
      <c r="H335" s="3726"/>
      <c r="I335" s="1103" t="s">
        <v>1788</v>
      </c>
      <c r="J335" s="1103" t="s">
        <v>1788</v>
      </c>
      <c r="K335" s="1103" t="s">
        <v>1788</v>
      </c>
      <c r="L335" s="1103" t="s">
        <v>1788</v>
      </c>
      <c r="M335" s="922" t="str">
        <f>IF(M333=$S$14,$T$10,IF(ROUNDDOWN(M333,0)=$S$10,$U$10,$T$10))</f>
        <v>　レベル　2</v>
      </c>
      <c r="N335" s="1103" t="s">
        <v>1788</v>
      </c>
      <c r="O335" s="1103" t="s">
        <v>1788</v>
      </c>
    </row>
    <row r="336" spans="2:15" ht="83.25" customHeight="1">
      <c r="B336" s="1">
        <v>3</v>
      </c>
      <c r="C336" s="1">
        <v>3</v>
      </c>
      <c r="D336" s="888"/>
      <c r="E336" s="893"/>
      <c r="F336" s="922" t="str">
        <f>IF(F333=$S$14,$T$11,IF(ROUNDDOWN(F333,0)=$S$11,$U$11,$T$11))</f>
        <v>■レベル　3</v>
      </c>
      <c r="G336" s="3682" t="s">
        <v>2683</v>
      </c>
      <c r="H336" s="3726"/>
      <c r="I336" s="1104" t="s">
        <v>2684</v>
      </c>
      <c r="J336" s="925" t="s">
        <v>879</v>
      </c>
      <c r="K336" s="1104" t="s">
        <v>880</v>
      </c>
      <c r="L336" s="1104" t="s">
        <v>880</v>
      </c>
      <c r="M336" s="922" t="str">
        <f>IF(M333=$S$14,$T$11,IF(ROUNDDOWN(M333,0)=$S$11,$U$11,$T$11))</f>
        <v>■レベル　3</v>
      </c>
      <c r="N336" s="925" t="s">
        <v>879</v>
      </c>
      <c r="O336" s="929" t="s">
        <v>880</v>
      </c>
    </row>
    <row r="337" spans="2:15" ht="88.5" customHeight="1">
      <c r="B337" s="1">
        <v>4</v>
      </c>
      <c r="C337" s="1">
        <v>4</v>
      </c>
      <c r="D337" s="888"/>
      <c r="E337" s="893"/>
      <c r="F337" s="922" t="str">
        <f>IF(F333=$S$14,$T$12,IF(ROUNDDOWN(F333,0)=$S$12,$U$12,$T$12))</f>
        <v>　レベル　4</v>
      </c>
      <c r="G337" s="3682" t="s">
        <v>2685</v>
      </c>
      <c r="H337" s="3726"/>
      <c r="I337" s="1105" t="s">
        <v>881</v>
      </c>
      <c r="J337" s="930" t="s">
        <v>2686</v>
      </c>
      <c r="K337" s="1103" t="s">
        <v>1788</v>
      </c>
      <c r="L337" s="1105" t="s">
        <v>2687</v>
      </c>
      <c r="M337" s="922" t="str">
        <f>IF(M333=$S$14,$T$12,IF(ROUNDDOWN(M333,0)=$S$12,$U$12,$T$12))</f>
        <v>　レベル　4</v>
      </c>
      <c r="N337" s="925" t="s">
        <v>2687</v>
      </c>
      <c r="O337" s="1103" t="s">
        <v>1788</v>
      </c>
    </row>
    <row r="338" spans="2:15" ht="113.25" customHeight="1">
      <c r="B338" s="1">
        <v>5</v>
      </c>
      <c r="C338" s="1">
        <v>5</v>
      </c>
      <c r="D338" s="888"/>
      <c r="E338" s="893"/>
      <c r="F338" s="933" t="str">
        <f>IF(F333=$S$14,$T$13,IF(ROUNDDOWN(F333,0)=$S$13,$U$13,$T$13))</f>
        <v>　レベル　5</v>
      </c>
      <c r="G338" s="3680" t="s">
        <v>3807</v>
      </c>
      <c r="H338" s="3710"/>
      <c r="I338" s="1106" t="s">
        <v>1788</v>
      </c>
      <c r="J338" s="1106" t="s">
        <v>1788</v>
      </c>
      <c r="K338" s="1106" t="s">
        <v>1788</v>
      </c>
      <c r="L338" s="1106" t="s">
        <v>1788</v>
      </c>
      <c r="M338" s="933" t="str">
        <f>IF(M333=$S$14,$T$13,IF(ROUNDDOWN(M333,0)=$S$13,$U$13,$T$13))</f>
        <v>　レベル　5</v>
      </c>
      <c r="N338" s="1106" t="s">
        <v>1788</v>
      </c>
      <c r="O338" s="1070" t="s">
        <v>2688</v>
      </c>
    </row>
    <row r="339" spans="2:15" ht="15.75" hidden="1">
      <c r="B339" s="940">
        <v>0</v>
      </c>
      <c r="C339" s="940">
        <v>0</v>
      </c>
      <c r="D339" s="888"/>
      <c r="E339" s="1092"/>
      <c r="F339" s="1092"/>
      <c r="G339" s="1093"/>
      <c r="H339" s="1093"/>
      <c r="I339" s="1093"/>
      <c r="J339" s="1093"/>
      <c r="K339" s="1107"/>
      <c r="L339" s="1107"/>
      <c r="M339" s="1107"/>
      <c r="N339" s="1107"/>
      <c r="O339" s="1107"/>
    </row>
    <row r="340" spans="2:15" ht="16.5" hidden="1" thickBot="1">
      <c r="D340" s="888"/>
      <c r="E340" s="1092"/>
      <c r="F340" s="1044" t="s">
        <v>2376</v>
      </c>
      <c r="G340" s="1108"/>
      <c r="H340" s="1109"/>
      <c r="I340" s="1110" t="s">
        <v>1121</v>
      </c>
      <c r="J340" s="908">
        <f>重み!M46</f>
        <v>0</v>
      </c>
      <c r="K340" s="1005"/>
      <c r="L340" s="1108"/>
      <c r="M340" s="1109"/>
      <c r="N340" s="1110" t="s">
        <v>1121</v>
      </c>
      <c r="O340" s="908">
        <f>重み!N46</f>
        <v>0</v>
      </c>
    </row>
    <row r="341" spans="2:15" ht="15.75" hidden="1">
      <c r="D341" s="888"/>
      <c r="E341" s="1092"/>
      <c r="F341" s="3741">
        <v>3</v>
      </c>
      <c r="G341" s="1111" t="s">
        <v>1650</v>
      </c>
      <c r="H341" s="905"/>
      <c r="I341" s="905"/>
      <c r="J341" s="1111"/>
      <c r="K341" s="3741">
        <v>3</v>
      </c>
      <c r="L341" s="1112" t="s">
        <v>1611</v>
      </c>
      <c r="M341" s="1032"/>
      <c r="N341" s="915"/>
      <c r="O341" s="916"/>
    </row>
    <row r="342" spans="2:15" ht="16.5" hidden="1" thickBot="1">
      <c r="D342" s="888"/>
      <c r="E342" s="1092"/>
      <c r="F342" s="3742"/>
      <c r="G342" s="1026" t="s">
        <v>2377</v>
      </c>
      <c r="H342" s="916"/>
      <c r="I342" s="1026"/>
      <c r="J342" s="1031"/>
      <c r="K342" s="3742"/>
      <c r="L342" s="1026" t="s">
        <v>882</v>
      </c>
      <c r="M342" s="916"/>
      <c r="N342" s="1026"/>
      <c r="O342" s="1031"/>
    </row>
    <row r="343" spans="2:15" ht="15.75" hidden="1" customHeight="1">
      <c r="D343" s="888"/>
      <c r="E343" s="1092"/>
      <c r="F343" s="1113" t="str">
        <f>IF(F341=$S$14,$T$9,IF(ROUNDDOWN(F341,0)=$S$9,$U$9,$T$9))</f>
        <v>　レベル　1</v>
      </c>
      <c r="G343" s="3678" t="s">
        <v>1549</v>
      </c>
      <c r="H343" s="3698"/>
      <c r="I343" s="3698"/>
      <c r="J343" s="3684"/>
      <c r="K343" s="917" t="str">
        <f>IF(K341=$S$14,$T$9,IF(ROUNDDOWN(K341,0)=$S$9,$U$9,$T$9))</f>
        <v>　レベル　1</v>
      </c>
      <c r="L343" s="3678" t="s">
        <v>1549</v>
      </c>
      <c r="M343" s="3698"/>
      <c r="N343" s="3698"/>
      <c r="O343" s="3684"/>
    </row>
    <row r="344" spans="2:15" ht="15.75" hidden="1" customHeight="1">
      <c r="D344" s="888"/>
      <c r="E344" s="1092"/>
      <c r="F344" s="1114" t="str">
        <f>IF(F341=$S$14,$T$10,IF(ROUNDDOWN(F341,0)=$S$10,$U$10,$T$10))</f>
        <v>　レベル　2</v>
      </c>
      <c r="G344" s="3716" t="s">
        <v>2007</v>
      </c>
      <c r="H344" s="3717"/>
      <c r="I344" s="3717"/>
      <c r="J344" s="3718"/>
      <c r="K344" s="922" t="str">
        <f>IF(K341=$S$14,$T$10,IF(ROUNDDOWN(K341,0)=$S$10,$U$10,$T$10))</f>
        <v>　レベル　2</v>
      </c>
      <c r="L344" s="3716" t="s">
        <v>2007</v>
      </c>
      <c r="M344" s="3717"/>
      <c r="N344" s="3717"/>
      <c r="O344" s="3718"/>
    </row>
    <row r="345" spans="2:15" ht="36.75" hidden="1" customHeight="1">
      <c r="D345" s="888"/>
      <c r="E345" s="1092"/>
      <c r="F345" s="1114" t="str">
        <f>IF(F341=$S$14,$T$11,IF(ROUNDDOWN(F341,0)=$S$11,$U$11,$T$11))</f>
        <v>■レベル　3</v>
      </c>
      <c r="G345" s="3716" t="s">
        <v>2378</v>
      </c>
      <c r="H345" s="3717"/>
      <c r="I345" s="3717"/>
      <c r="J345" s="3718"/>
      <c r="K345" s="922" t="str">
        <f>IF(K341=$S$14,$T$11,IF(ROUNDDOWN(K341,0)=$S$11,$U$11,$T$11))</f>
        <v>■レベル　3</v>
      </c>
      <c r="L345" s="3716" t="s">
        <v>2378</v>
      </c>
      <c r="M345" s="3717"/>
      <c r="N345" s="3717"/>
      <c r="O345" s="3718"/>
    </row>
    <row r="346" spans="2:15" ht="15.75" hidden="1">
      <c r="D346" s="888"/>
      <c r="E346" s="1092"/>
      <c r="F346" s="1114" t="str">
        <f>IF(F341=$S$14,$T$12,IF(ROUNDDOWN(F341,0)=$S$12,$U$12,$T$12))</f>
        <v>　レベル　4</v>
      </c>
      <c r="G346" s="3716" t="s">
        <v>2008</v>
      </c>
      <c r="H346" s="3717"/>
      <c r="I346" s="3717"/>
      <c r="J346" s="3718"/>
      <c r="K346" s="922" t="str">
        <f>IF(K341=$S$14,$T$12,IF(ROUNDDOWN(K341,0)=$S$12,$U$12,$T$12))</f>
        <v>　レベル　4</v>
      </c>
      <c r="L346" s="3716" t="s">
        <v>2008</v>
      </c>
      <c r="M346" s="3717"/>
      <c r="N346" s="3717"/>
      <c r="O346" s="3718"/>
    </row>
    <row r="347" spans="2:15" ht="36.75" hidden="1" customHeight="1">
      <c r="D347" s="888"/>
      <c r="E347" s="1092"/>
      <c r="F347" s="1115" t="str">
        <f>IF(F341=$S$14,$T$13,IF(ROUNDDOWN(F341,0)=$S$13,$U$13,$T$13))</f>
        <v>　レベル　5</v>
      </c>
      <c r="G347" s="3707" t="s">
        <v>2379</v>
      </c>
      <c r="H347" s="3727"/>
      <c r="I347" s="3727"/>
      <c r="J347" s="3728"/>
      <c r="K347" s="933" t="str">
        <f>IF(K341=$S$14,$T$13,IF(ROUNDDOWN(K341,0)=$S$13,$U$13,$T$13))</f>
        <v>　レベル　5</v>
      </c>
      <c r="L347" s="3707" t="s">
        <v>2379</v>
      </c>
      <c r="M347" s="3727"/>
      <c r="N347" s="3727"/>
      <c r="O347" s="3728"/>
    </row>
    <row r="348" spans="2:15" ht="15.75">
      <c r="D348" s="888"/>
      <c r="E348" s="1092"/>
      <c r="F348" s="1092"/>
      <c r="G348" s="1093"/>
      <c r="H348" s="1093"/>
      <c r="I348" s="1093"/>
      <c r="J348" s="1093"/>
      <c r="K348" s="1107"/>
      <c r="L348" s="1093"/>
      <c r="M348" s="1093"/>
      <c r="N348" s="1093"/>
      <c r="O348" s="1093"/>
    </row>
    <row r="349" spans="2:15" ht="15.75">
      <c r="D349" s="1311">
        <v>3.4</v>
      </c>
      <c r="E349" s="895" t="s">
        <v>805</v>
      </c>
      <c r="F349" s="899"/>
      <c r="G349" s="976"/>
      <c r="H349" s="1025"/>
      <c r="I349" s="1005"/>
      <c r="J349" s="979" t="str">
        <f>IF(OR(F351=0,AND(J350=0,O350=0)),$R$3,"")</f>
        <v/>
      </c>
      <c r="K349" s="1064"/>
      <c r="L349" s="976"/>
      <c r="M349" s="1025"/>
      <c r="N349" s="1005"/>
      <c r="O349" s="979"/>
    </row>
    <row r="350" spans="2:15" ht="16.5" thickBot="1">
      <c r="D350" s="888"/>
      <c r="E350" s="886"/>
      <c r="F350" s="903" t="s">
        <v>1090</v>
      </c>
      <c r="G350" s="904"/>
      <c r="H350" s="905"/>
      <c r="I350" s="906" t="s">
        <v>1121</v>
      </c>
      <c r="J350" s="909">
        <f>重み!M47</f>
        <v>0.25</v>
      </c>
      <c r="K350" s="903" t="s">
        <v>1611</v>
      </c>
      <c r="L350" s="904"/>
      <c r="M350" s="905"/>
      <c r="N350" s="906" t="s">
        <v>1121</v>
      </c>
      <c r="O350" s="909">
        <f>重み!N47</f>
        <v>3.937007874015748E-3</v>
      </c>
    </row>
    <row r="351" spans="2:15" ht="23.25" thickBot="1">
      <c r="D351" s="888"/>
      <c r="E351" s="886"/>
      <c r="F351" s="910">
        <v>3</v>
      </c>
      <c r="G351" s="3019" t="s">
        <v>3808</v>
      </c>
      <c r="H351" s="915"/>
      <c r="I351" s="1052" t="s">
        <v>1122</v>
      </c>
      <c r="J351" s="3020" t="s">
        <v>1092</v>
      </c>
      <c r="K351" s="910">
        <v>3</v>
      </c>
      <c r="L351" s="1026" t="s">
        <v>2009</v>
      </c>
      <c r="M351" s="916"/>
      <c r="N351" s="1026" t="s">
        <v>387</v>
      </c>
      <c r="O351" s="1031"/>
    </row>
    <row r="352" spans="2:15" ht="31.5" hidden="1">
      <c r="B352" s="1">
        <v>1</v>
      </c>
      <c r="C352" s="1">
        <v>1</v>
      </c>
      <c r="D352" s="888"/>
      <c r="E352" s="886"/>
      <c r="F352" s="1065"/>
      <c r="G352" s="1026" t="s">
        <v>1038</v>
      </c>
      <c r="H352" s="915"/>
      <c r="I352" s="915"/>
      <c r="J352" s="3015" t="s">
        <v>3809</v>
      </c>
      <c r="K352" s="1065"/>
      <c r="L352" s="915" t="s">
        <v>1038</v>
      </c>
      <c r="M352" s="1032"/>
      <c r="N352" s="1032"/>
      <c r="O352" s="1033"/>
    </row>
    <row r="353" spans="2:15" ht="36.75" hidden="1" customHeight="1">
      <c r="B353" s="1" t="s">
        <v>2355</v>
      </c>
      <c r="C353" s="1" t="s">
        <v>2355</v>
      </c>
      <c r="D353" s="888"/>
      <c r="E353" s="886"/>
      <c r="F353" s="922" t="str">
        <f>IF(F351=$S$14,$T$9,IF(AND($O$3=$U$3,ROUNDDOWN(F351,0)=$S$9),$U$9,$T$9))</f>
        <v>　レベル　1</v>
      </c>
      <c r="G353" s="3678" t="s">
        <v>2010</v>
      </c>
      <c r="H353" s="3698"/>
      <c r="I353" s="3678" t="s">
        <v>2380</v>
      </c>
      <c r="J353" s="3684"/>
      <c r="K353" s="922" t="str">
        <f>IF(K351=$S$14,$T$9,IF(AND($O$3=$U$3,ROUNDDOWN(K351,0)=$S$9),$U$9,$T$9))</f>
        <v>　レベル　1</v>
      </c>
      <c r="L353" s="3678" t="s">
        <v>2381</v>
      </c>
      <c r="M353" s="3684"/>
      <c r="N353" s="3678" t="s">
        <v>2381</v>
      </c>
      <c r="O353" s="3696"/>
    </row>
    <row r="354" spans="2:15" ht="15.75" hidden="1">
      <c r="B354" s="1">
        <v>3</v>
      </c>
      <c r="C354" s="1">
        <v>3</v>
      </c>
      <c r="D354" s="888"/>
      <c r="E354" s="886"/>
      <c r="F354" s="922" t="str">
        <f>IF(F351=$S$14,$T$10,IF(AND($O$3=$U$3,ROUNDDOWN(F351,0)=$S$10),$U$10,$T$10))</f>
        <v>　レベル　2</v>
      </c>
      <c r="G354" s="3682" t="s">
        <v>1788</v>
      </c>
      <c r="H354" s="3699"/>
      <c r="I354" s="3682" t="s">
        <v>1788</v>
      </c>
      <c r="J354" s="3683"/>
      <c r="K354" s="922" t="str">
        <f>IF(K351=$S$14,$T$10,IF(AND($O$3=$U$3,ROUNDDOWN(K351,0)=$S$10),$U$10,$T$10))</f>
        <v>　レベル　2</v>
      </c>
      <c r="L354" s="3682" t="s">
        <v>1788</v>
      </c>
      <c r="M354" s="3683"/>
      <c r="N354" s="3682" t="s">
        <v>1788</v>
      </c>
      <c r="O354" s="3683"/>
    </row>
    <row r="355" spans="2:15" ht="42" hidden="1" customHeight="1">
      <c r="B355" s="1" t="s">
        <v>2355</v>
      </c>
      <c r="C355" s="1" t="s">
        <v>2355</v>
      </c>
      <c r="D355" s="888"/>
      <c r="E355" s="886"/>
      <c r="F355" s="922" t="str">
        <f>IF(F351=$S$14,$T$11,IF(AND($O$3=$U$3,ROUNDDOWN(F351,0)=$S$11),$U$11,$T$11))</f>
        <v>　レベル　3</v>
      </c>
      <c r="G355" s="3682" t="s">
        <v>2011</v>
      </c>
      <c r="H355" s="3699"/>
      <c r="I355" s="3682" t="s">
        <v>2689</v>
      </c>
      <c r="J355" s="3683"/>
      <c r="K355" s="922" t="str">
        <f>IF(K351=$S$14,$T$11,IF(AND($O$3=$U$3,ROUNDDOWN(K351,0)=$S$11),$U$11,$T$11))</f>
        <v>　レベル　3</v>
      </c>
      <c r="L355" s="3682" t="s">
        <v>2382</v>
      </c>
      <c r="M355" s="3683"/>
      <c r="N355" s="3682" t="s">
        <v>2383</v>
      </c>
      <c r="O355" s="3683"/>
    </row>
    <row r="356" spans="2:15" ht="15.75" hidden="1">
      <c r="B356" s="1">
        <v>5</v>
      </c>
      <c r="C356" s="1">
        <v>5</v>
      </c>
      <c r="D356" s="888"/>
      <c r="E356" s="886"/>
      <c r="F356" s="922" t="str">
        <f>IF(F351=$S$14,$T$12,IF(AND($O$3=$U$3,ROUNDDOWN(F351,0)=$S$12),$U$12,$T$12))</f>
        <v>　レベル　4</v>
      </c>
      <c r="G356" s="3682" t="s">
        <v>1788</v>
      </c>
      <c r="H356" s="3699"/>
      <c r="I356" s="3682" t="s">
        <v>1788</v>
      </c>
      <c r="J356" s="3683"/>
      <c r="K356" s="922" t="str">
        <f>IF(K351=$S$14,$T$12,IF(AND($O$3=$U$3,ROUNDDOWN(K351,0)=$S$12),$U$12,$T$12))</f>
        <v>　レベル　4</v>
      </c>
      <c r="L356" s="3682" t="s">
        <v>1788</v>
      </c>
      <c r="M356" s="3683"/>
      <c r="N356" s="3682" t="s">
        <v>1788</v>
      </c>
      <c r="O356" s="3683"/>
    </row>
    <row r="357" spans="2:15" ht="45" hidden="1" customHeight="1">
      <c r="B357" s="940">
        <v>0</v>
      </c>
      <c r="C357" s="940">
        <v>0</v>
      </c>
      <c r="D357" s="888"/>
      <c r="E357" s="886"/>
      <c r="F357" s="933" t="str">
        <f>IF(F351=$S$14,$T$13,IF(AND($O$3=$U$3,ROUNDDOWN(F351,0)=$S$13),$U$13,$T$13))</f>
        <v>　レベル　5</v>
      </c>
      <c r="G357" s="3680" t="s">
        <v>2690</v>
      </c>
      <c r="H357" s="3704"/>
      <c r="I357" s="3680" t="s">
        <v>2691</v>
      </c>
      <c r="J357" s="3681"/>
      <c r="K357" s="933" t="str">
        <f>IF(K351=$S$14,$T$13,IF(AND($O$3=$U$3,ROUNDDOWN(K351,0)=$S$13),$U$13,$T$13))</f>
        <v>　レベル　5</v>
      </c>
      <c r="L357" s="3680" t="s">
        <v>2384</v>
      </c>
      <c r="M357" s="3681"/>
      <c r="N357" s="3680" t="s">
        <v>2692</v>
      </c>
      <c r="O357" s="3681"/>
    </row>
    <row r="358" spans="2:15" ht="15.75" hidden="1">
      <c r="D358" s="888"/>
      <c r="E358" s="886"/>
      <c r="F358" s="1028"/>
      <c r="G358" s="1026" t="s">
        <v>1037</v>
      </c>
      <c r="H358" s="916"/>
      <c r="I358" s="1047"/>
      <c r="J358" s="1067"/>
      <c r="K358" s="1028"/>
      <c r="L358" s="1047" t="s">
        <v>1037</v>
      </c>
      <c r="M358" s="1047"/>
      <c r="N358" s="1026"/>
      <c r="O358" s="916"/>
    </row>
    <row r="359" spans="2:15" ht="36" customHeight="1">
      <c r="D359" s="888"/>
      <c r="E359" s="886"/>
      <c r="F359" s="1029" t="str">
        <f>IF(F351=$S$14,$T$9,IF(AND($O$3&lt;&gt;$U$3,ROUNDDOWN(F351,0)=$S$9),$U$9,$T$9))</f>
        <v>　レベル　1</v>
      </c>
      <c r="G359" s="3678" t="s">
        <v>2693</v>
      </c>
      <c r="H359" s="3696"/>
      <c r="I359" s="3008" t="s">
        <v>2012</v>
      </c>
      <c r="J359" s="3743" t="s">
        <v>3810</v>
      </c>
      <c r="K359" s="1029" t="str">
        <f>IF(K351=$S$14,$T$9,IF(AND($O$3&lt;&gt;$U$3,ROUNDDOWN(K351,0)=$S$9),$U$9,$T$9))</f>
        <v>　レベル　1</v>
      </c>
      <c r="L359" s="3678" t="s">
        <v>2381</v>
      </c>
      <c r="M359" s="3684"/>
      <c r="N359" s="3678" t="s">
        <v>2013</v>
      </c>
      <c r="O359" s="3696"/>
    </row>
    <row r="360" spans="2:15" ht="30.75" customHeight="1">
      <c r="D360" s="888"/>
      <c r="E360" s="886"/>
      <c r="F360" s="922" t="str">
        <f>IF(F351=$S$14,$T$10,IF(AND($O$3&lt;&gt;$U$3,ROUNDDOWN(F351,0)=$S$10),$U$10,$T$10))</f>
        <v>　レベル　2</v>
      </c>
      <c r="G360" s="3682" t="s">
        <v>1788</v>
      </c>
      <c r="H360" s="3683"/>
      <c r="I360" s="3007" t="s">
        <v>1788</v>
      </c>
      <c r="J360" s="3744"/>
      <c r="K360" s="922" t="str">
        <f>IF(K351=$S$14,$T$10,IF(AND($O$3&lt;&gt;$U$3,ROUNDDOWN(K351,0)=$S$10),$U$10,$T$10))</f>
        <v>　レベル　2</v>
      </c>
      <c r="L360" s="3682" t="s">
        <v>1788</v>
      </c>
      <c r="M360" s="3683"/>
      <c r="N360" s="3682" t="s">
        <v>1788</v>
      </c>
      <c r="O360" s="3683"/>
    </row>
    <row r="361" spans="2:15" ht="76.5" customHeight="1">
      <c r="D361" s="888"/>
      <c r="E361" s="886"/>
      <c r="F361" s="922" t="str">
        <f>IF(F351=$S$14,$T$11,IF(AND($O$3&lt;&gt;$U$3,ROUNDDOWN(F351,0)=$S$11),$U$11,$T$11))</f>
        <v>■レベル　3</v>
      </c>
      <c r="G361" s="3682" t="s">
        <v>2694</v>
      </c>
      <c r="H361" s="3683"/>
      <c r="I361" s="3007" t="s">
        <v>3811</v>
      </c>
      <c r="J361" s="3744"/>
      <c r="K361" s="922" t="str">
        <f>IF(K351=$S$14,$T$11,IF(AND($O$3&lt;&gt;$U$3,ROUNDDOWN(K351,0)=$S$11),$U$11,$T$11))</f>
        <v>■レベル　3</v>
      </c>
      <c r="L361" s="3682" t="s">
        <v>2695</v>
      </c>
      <c r="M361" s="3683"/>
      <c r="N361" s="3682" t="s">
        <v>2696</v>
      </c>
      <c r="O361" s="3683"/>
    </row>
    <row r="362" spans="2:15" ht="28.5" customHeight="1">
      <c r="D362" s="888"/>
      <c r="E362" s="886"/>
      <c r="F362" s="922" t="str">
        <f>IF(F351=$S$14,$T$12,IF(AND($O$3&lt;&gt;$U$3,ROUNDDOWN(F351,0)=$S$12),$U$12,$T$12))</f>
        <v>　レベル　4</v>
      </c>
      <c r="G362" s="3682" t="s">
        <v>1788</v>
      </c>
      <c r="H362" s="3683"/>
      <c r="I362" s="3007" t="s">
        <v>1788</v>
      </c>
      <c r="J362" s="3744"/>
      <c r="K362" s="922" t="str">
        <f>IF(K351=$S$14,$T$12,IF(AND($O$3&lt;&gt;$U$3,ROUNDDOWN(K351,0)=$S$12),$U$12,$T$12))</f>
        <v>　レベル　4</v>
      </c>
      <c r="L362" s="3682" t="s">
        <v>1788</v>
      </c>
      <c r="M362" s="3683"/>
      <c r="N362" s="3682" t="s">
        <v>1788</v>
      </c>
      <c r="O362" s="3683"/>
    </row>
    <row r="363" spans="2:15" ht="46.5" customHeight="1">
      <c r="D363" s="888"/>
      <c r="E363" s="886"/>
      <c r="F363" s="933" t="str">
        <f>IF(F351=$S$14,$T$13,IF(AND($O$3&lt;&gt;$U$3,ROUNDDOWN(F351,0)=$S$13),$U$13,$T$13))</f>
        <v>　レベル　5</v>
      </c>
      <c r="G363" s="3680" t="s">
        <v>2697</v>
      </c>
      <c r="H363" s="3681"/>
      <c r="I363" s="3680" t="s">
        <v>2691</v>
      </c>
      <c r="J363" s="3681"/>
      <c r="K363" s="933" t="str">
        <f>IF(K351=$S$14,$T$13,IF(AND($O$3&lt;&gt;$U$3,ROUNDDOWN(K351,0)=$S$13),$U$13,$T$13))</f>
        <v>　レベル　5</v>
      </c>
      <c r="L363" s="3680" t="s">
        <v>2384</v>
      </c>
      <c r="M363" s="3681"/>
      <c r="N363" s="3680" t="s">
        <v>2698</v>
      </c>
      <c r="O363" s="3681"/>
    </row>
    <row r="364" spans="2:15" ht="15.75">
      <c r="D364" s="888"/>
      <c r="E364" s="1092"/>
      <c r="F364" s="1092"/>
      <c r="G364" s="1093"/>
      <c r="H364" s="1093"/>
      <c r="I364" s="1093"/>
      <c r="J364" s="1093"/>
      <c r="K364" s="1093"/>
      <c r="L364" s="1093"/>
      <c r="M364" s="1093"/>
      <c r="N364" s="1093"/>
      <c r="O364" s="1093"/>
    </row>
    <row r="365" spans="2:15" ht="15.75">
      <c r="D365" s="1311">
        <v>4</v>
      </c>
      <c r="E365" s="1022" t="s">
        <v>806</v>
      </c>
      <c r="F365" s="1022"/>
      <c r="G365" s="1024"/>
      <c r="H365" s="1024"/>
      <c r="I365" s="1024"/>
      <c r="J365" s="1024"/>
      <c r="K365" s="1024"/>
      <c r="L365" s="1024"/>
      <c r="M365" s="1024"/>
      <c r="N365" s="1024"/>
      <c r="O365" s="1024"/>
    </row>
    <row r="366" spans="2:15" ht="15.75">
      <c r="D366" s="1311">
        <v>4.0999999999999996</v>
      </c>
      <c r="E366" s="1022" t="s">
        <v>1626</v>
      </c>
      <c r="F366" s="896"/>
      <c r="G366" s="1023"/>
      <c r="H366" s="1024"/>
      <c r="I366" s="1024"/>
      <c r="J366" s="1024"/>
      <c r="K366" s="1024"/>
      <c r="L366" s="1024"/>
      <c r="M366" s="1024"/>
      <c r="N366" s="1024"/>
      <c r="O366" s="1024"/>
    </row>
    <row r="367" spans="2:15" ht="15.75">
      <c r="D367" s="888"/>
      <c r="E367" s="893"/>
      <c r="F367" s="899" t="s">
        <v>1627</v>
      </c>
      <c r="G367" s="976"/>
      <c r="H367" s="1025"/>
      <c r="I367" s="1005"/>
      <c r="J367" s="979" t="str">
        <f>IF(OR(F369=0,AND(J368=0,O368=0)),$R$3,"")</f>
        <v/>
      </c>
      <c r="K367" s="1064"/>
      <c r="L367" s="976"/>
      <c r="M367" s="1025"/>
      <c r="N367" s="1005"/>
      <c r="O367" s="979"/>
    </row>
    <row r="368" spans="2:15" ht="16.5" thickBot="1">
      <c r="D368" s="888"/>
      <c r="E368" s="893"/>
      <c r="F368" s="903" t="s">
        <v>1241</v>
      </c>
      <c r="G368" s="904"/>
      <c r="H368" s="905"/>
      <c r="I368" s="906" t="s">
        <v>1121</v>
      </c>
      <c r="J368" s="909">
        <f>重み!M50</f>
        <v>1</v>
      </c>
      <c r="K368" s="903" t="s">
        <v>1611</v>
      </c>
      <c r="L368" s="904"/>
      <c r="M368" s="905"/>
      <c r="N368" s="906" t="s">
        <v>1121</v>
      </c>
      <c r="O368" s="909">
        <f>重み!N50</f>
        <v>1.5748031496062992E-2</v>
      </c>
    </row>
    <row r="369" spans="2:15" ht="16.5" thickBot="1">
      <c r="D369" s="888"/>
      <c r="E369" s="893"/>
      <c r="F369" s="910">
        <v>3</v>
      </c>
      <c r="G369" s="1026" t="s">
        <v>1628</v>
      </c>
      <c r="H369" s="916"/>
      <c r="I369" s="1116" t="s">
        <v>1242</v>
      </c>
      <c r="J369" s="1117"/>
      <c r="K369" s="910">
        <v>3</v>
      </c>
      <c r="L369" s="1026" t="s">
        <v>1629</v>
      </c>
      <c r="M369" s="916"/>
      <c r="N369" s="1026"/>
      <c r="O369" s="1031"/>
    </row>
    <row r="370" spans="2:15" ht="19.5" customHeight="1">
      <c r="B370" s="1" t="s">
        <v>1787</v>
      </c>
      <c r="C370" s="1" t="s">
        <v>1787</v>
      </c>
      <c r="D370" s="888"/>
      <c r="E370" s="893"/>
      <c r="F370" s="917" t="str">
        <f>IF(F369=$S$14,$T$9,IF(ROUNDDOWN(F369,0)=$S$9,$U$9,$T$9))</f>
        <v>　レベル　1</v>
      </c>
      <c r="G370" s="3678" t="s">
        <v>1788</v>
      </c>
      <c r="H370" s="3696"/>
      <c r="I370" s="3745" t="s">
        <v>341</v>
      </c>
      <c r="J370" s="3746"/>
      <c r="K370" s="917" t="str">
        <f>IF(K369=$S$14,$T$9,IF(ROUNDDOWN(K369,0)=$S$9,$U$9,$T$9))</f>
        <v>　レベル　1</v>
      </c>
      <c r="L370" s="3682" t="s">
        <v>1788</v>
      </c>
      <c r="M370" s="3688"/>
      <c r="N370" s="3688"/>
      <c r="O370" s="3683"/>
    </row>
    <row r="371" spans="2:15" ht="19.5" customHeight="1">
      <c r="B371" s="1" t="s">
        <v>1787</v>
      </c>
      <c r="C371" s="1" t="s">
        <v>1787</v>
      </c>
      <c r="D371" s="888"/>
      <c r="E371" s="893"/>
      <c r="F371" s="922" t="str">
        <f>IF(F369=$S$14,$T$10,IF(ROUNDDOWN(F369,0)=$S$10,$U$10,$T$10))</f>
        <v>　レベル　2</v>
      </c>
      <c r="G371" s="3682" t="s">
        <v>1788</v>
      </c>
      <c r="H371" s="3683"/>
      <c r="I371" s="3745" t="s">
        <v>1788</v>
      </c>
      <c r="J371" s="3747"/>
      <c r="K371" s="922" t="str">
        <f>IF(K369=$S$14,$T$10,IF(ROUNDDOWN(K369,0)=$S$10,$U$10,$T$10))</f>
        <v>　レベル　2</v>
      </c>
      <c r="L371" s="3682" t="s">
        <v>1788</v>
      </c>
      <c r="M371" s="3699"/>
      <c r="N371" s="3699"/>
      <c r="O371" s="3726"/>
    </row>
    <row r="372" spans="2:15" ht="76.5" customHeight="1">
      <c r="B372" s="1">
        <v>3</v>
      </c>
      <c r="C372" s="1">
        <v>3</v>
      </c>
      <c r="D372" s="888"/>
      <c r="E372" s="893"/>
      <c r="F372" s="922" t="str">
        <f>IF(F369=$S$14,$T$11,IF(ROUNDDOWN(F369,0)=$S$11,$U$11,$T$11))</f>
        <v>■レベル　3</v>
      </c>
      <c r="G372" s="3682" t="s">
        <v>1630</v>
      </c>
      <c r="H372" s="3683"/>
      <c r="I372" s="3745" t="s">
        <v>2699</v>
      </c>
      <c r="J372" s="3746"/>
      <c r="K372" s="922" t="str">
        <f>IF(K369=$S$14,$T$11,IF(ROUNDDOWN(K369,0)=$S$11,$U$11,$T$11))</f>
        <v>■レベル　3</v>
      </c>
      <c r="L372" s="3682" t="s">
        <v>1630</v>
      </c>
      <c r="M372" s="3688"/>
      <c r="N372" s="3688"/>
      <c r="O372" s="3683"/>
    </row>
    <row r="373" spans="2:15" ht="83.25" customHeight="1">
      <c r="B373" s="1">
        <v>4</v>
      </c>
      <c r="C373" s="1">
        <v>4</v>
      </c>
      <c r="D373" s="888"/>
      <c r="E373" s="893"/>
      <c r="F373" s="922" t="str">
        <f>IF(F369=$S$14,$T$12,IF(ROUNDDOWN(F369,0)=$S$12,$U$12,$T$12))</f>
        <v>　レベル　4</v>
      </c>
      <c r="G373" s="3682" t="s">
        <v>2701</v>
      </c>
      <c r="H373" s="3683"/>
      <c r="I373" s="3745" t="s">
        <v>2702</v>
      </c>
      <c r="J373" s="3746"/>
      <c r="K373" s="922" t="str">
        <f>IF(K369=$S$14,$T$12,IF(ROUNDDOWN(K369,0)=$S$12,$U$12,$T$12))</f>
        <v>　レベル　4</v>
      </c>
      <c r="L373" s="3682" t="s">
        <v>2700</v>
      </c>
      <c r="M373" s="3688"/>
      <c r="N373" s="3688"/>
      <c r="O373" s="3683"/>
    </row>
    <row r="374" spans="2:15" ht="110.25" customHeight="1">
      <c r="B374" s="1">
        <v>5</v>
      </c>
      <c r="C374" s="1">
        <v>5</v>
      </c>
      <c r="D374" s="888"/>
      <c r="E374" s="893"/>
      <c r="F374" s="933" t="str">
        <f>IF(F369=$S$14,$T$13,IF(ROUNDDOWN(F369,0)=$S$13,$U$13,$T$13))</f>
        <v>　レベル　5</v>
      </c>
      <c r="G374" s="3680" t="s">
        <v>2703</v>
      </c>
      <c r="H374" s="3681"/>
      <c r="I374" s="3748" t="s">
        <v>2704</v>
      </c>
      <c r="J374" s="3749"/>
      <c r="K374" s="933" t="str">
        <f>IF(K369=$S$14,$T$13,IF(ROUNDDOWN(K369,0)=$S$13,$U$13,$T$13))</f>
        <v>　レベル　5</v>
      </c>
      <c r="L374" s="3680" t="s">
        <v>2703</v>
      </c>
      <c r="M374" s="3687"/>
      <c r="N374" s="3687"/>
      <c r="O374" s="3681"/>
    </row>
    <row r="375" spans="2:15" ht="15.75">
      <c r="B375" s="940">
        <v>0</v>
      </c>
      <c r="C375" s="940">
        <v>0</v>
      </c>
      <c r="D375" s="888"/>
      <c r="E375" s="889"/>
      <c r="F375" s="889"/>
      <c r="G375" s="975"/>
      <c r="H375" s="975"/>
      <c r="I375" s="975"/>
      <c r="J375" s="975"/>
      <c r="K375" s="975"/>
      <c r="L375" s="975"/>
      <c r="M375" s="975"/>
      <c r="N375" s="975"/>
      <c r="O375" s="975"/>
    </row>
    <row r="376" spans="2:15" ht="15.75">
      <c r="D376" s="888"/>
      <c r="E376" s="1038"/>
      <c r="F376" s="899" t="s">
        <v>1631</v>
      </c>
      <c r="G376" s="976"/>
      <c r="H376" s="1025"/>
      <c r="I376" s="1005"/>
      <c r="J376" s="979" t="str">
        <f>IF(OR(F378=0,AND(J377=0,O377=0)),$R$3,"")</f>
        <v>&lt;評価しない&gt;</v>
      </c>
      <c r="K376" s="1064"/>
      <c r="L376" s="976"/>
      <c r="M376" s="1025"/>
      <c r="N376" s="1005"/>
      <c r="O376" s="979"/>
    </row>
    <row r="377" spans="2:15" ht="16.5" hidden="1" thickBot="1">
      <c r="B377" s="1094" t="s">
        <v>1632</v>
      </c>
      <c r="C377" s="1094"/>
      <c r="D377" s="888"/>
      <c r="E377" s="1038"/>
      <c r="F377" s="903" t="s">
        <v>2341</v>
      </c>
      <c r="G377" s="904"/>
      <c r="H377" s="905"/>
      <c r="I377" s="906" t="s">
        <v>1121</v>
      </c>
      <c r="J377" s="909">
        <f>重み!M51</f>
        <v>0</v>
      </c>
      <c r="K377" s="903" t="s">
        <v>1611</v>
      </c>
      <c r="L377" s="904"/>
      <c r="M377" s="905"/>
      <c r="N377" s="906" t="s">
        <v>1121</v>
      </c>
      <c r="O377" s="909">
        <f>重み!N51</f>
        <v>0</v>
      </c>
    </row>
    <row r="378" spans="2:15" ht="16.5" hidden="1" thickBot="1">
      <c r="D378" s="888"/>
      <c r="E378" s="1038"/>
      <c r="F378" s="910">
        <v>0</v>
      </c>
      <c r="G378" s="1026" t="s">
        <v>1243</v>
      </c>
      <c r="H378" s="915"/>
      <c r="I378" s="1052"/>
      <c r="J378" s="916"/>
      <c r="K378" s="910">
        <v>0</v>
      </c>
      <c r="L378" s="1026" t="s">
        <v>1629</v>
      </c>
      <c r="M378" s="916"/>
      <c r="N378" s="1026"/>
      <c r="O378" s="1031"/>
    </row>
    <row r="379" spans="2:15" ht="15.75" hidden="1">
      <c r="B379" s="1">
        <v>1</v>
      </c>
      <c r="C379" s="1">
        <v>1</v>
      </c>
      <c r="D379" s="888"/>
      <c r="E379" s="1039"/>
      <c r="F379" s="917" t="str">
        <f>IF(F378=$S$14,$T$9,IF(ROUNDDOWN(F378,0)=$S$9,$U$9,$T$9))</f>
        <v>　レベル　1</v>
      </c>
      <c r="G379" s="3682" t="s">
        <v>182</v>
      </c>
      <c r="H379" s="3688"/>
      <c r="I379" s="3688"/>
      <c r="J379" s="3683"/>
      <c r="K379" s="917" t="str">
        <f>IF(K378=$S$14,$T$9,IF(ROUNDDOWN(K378,0)=$S$9,$U$9,$T$9))</f>
        <v>　レベル　1</v>
      </c>
      <c r="L379" s="3682" t="s">
        <v>182</v>
      </c>
      <c r="M379" s="3688"/>
      <c r="N379" s="3688"/>
      <c r="O379" s="3683"/>
    </row>
    <row r="380" spans="2:15" ht="15.75" hidden="1">
      <c r="B380" s="1">
        <v>2</v>
      </c>
      <c r="C380" s="1">
        <v>2</v>
      </c>
      <c r="D380" s="888"/>
      <c r="E380" s="1039"/>
      <c r="F380" s="922" t="str">
        <f>IF(F378=$S$14,$T$10,IF(ROUNDDOWN(F378,0)=$S$10,$U$10,$T$10))</f>
        <v>　レベル　2</v>
      </c>
      <c r="G380" s="3682" t="s">
        <v>2705</v>
      </c>
      <c r="H380" s="3688"/>
      <c r="I380" s="3688"/>
      <c r="J380" s="3683"/>
      <c r="K380" s="922" t="str">
        <f>IF(K378=$S$14,$T$10,IF(ROUNDDOWN(K378,0)=$S$10,$U$10,$T$10))</f>
        <v>　レベル　2</v>
      </c>
      <c r="L380" s="3682" t="s">
        <v>2705</v>
      </c>
      <c r="M380" s="3688"/>
      <c r="N380" s="3688"/>
      <c r="O380" s="3683"/>
    </row>
    <row r="381" spans="2:15" ht="15.75" hidden="1">
      <c r="B381" s="1">
        <v>3</v>
      </c>
      <c r="C381" s="1">
        <v>3</v>
      </c>
      <c r="D381" s="888"/>
      <c r="E381" s="1039"/>
      <c r="F381" s="922" t="str">
        <f>IF(F378=$S$14,$T$11,IF(ROUNDDOWN(F378,0)=$S$11,$U$11,$T$11))</f>
        <v>　レベル　3</v>
      </c>
      <c r="G381" s="3682" t="s">
        <v>1633</v>
      </c>
      <c r="H381" s="3688"/>
      <c r="I381" s="3688"/>
      <c r="J381" s="3683"/>
      <c r="K381" s="922" t="str">
        <f>IF(K378=$S$14,$T$11,IF(ROUNDDOWN(K378,0)=$S$11,$U$11,$T$11))</f>
        <v>　レベル　3</v>
      </c>
      <c r="L381" s="3682" t="s">
        <v>1633</v>
      </c>
      <c r="M381" s="3699"/>
      <c r="N381" s="3699"/>
      <c r="O381" s="3726"/>
    </row>
    <row r="382" spans="2:15" ht="15.75" hidden="1">
      <c r="B382" s="1" t="s">
        <v>1787</v>
      </c>
      <c r="C382" s="1" t="s">
        <v>1787</v>
      </c>
      <c r="D382" s="888"/>
      <c r="E382" s="1039"/>
      <c r="F382" s="922" t="str">
        <f>IF(F378=$S$14,$T$12,IF(ROUNDDOWN(F378,0)=$S$12,$U$12,$T$12))</f>
        <v>　レベル　4</v>
      </c>
      <c r="G382" s="3682" t="s">
        <v>1788</v>
      </c>
      <c r="H382" s="3688"/>
      <c r="I382" s="3688"/>
      <c r="J382" s="3683"/>
      <c r="K382" s="922" t="str">
        <f>IF(K378=$S$14,$T$12,IF(ROUNDDOWN(K378,0)=$S$12,$U$12,$T$12))</f>
        <v>　レベル　4</v>
      </c>
      <c r="L382" s="3682" t="s">
        <v>1788</v>
      </c>
      <c r="M382" s="3688"/>
      <c r="N382" s="3688"/>
      <c r="O382" s="3683"/>
    </row>
    <row r="383" spans="2:15" ht="15.75" hidden="1">
      <c r="B383" s="1" t="s">
        <v>1787</v>
      </c>
      <c r="C383" s="1" t="s">
        <v>1787</v>
      </c>
      <c r="D383" s="888"/>
      <c r="E383" s="1039"/>
      <c r="F383" s="933" t="str">
        <f>IF(F378=$S$14,$T$13,IF(ROUNDDOWN(F378,0)=$S$13,$U$13,$T$13))</f>
        <v>　レベル　5</v>
      </c>
      <c r="G383" s="3680" t="s">
        <v>1788</v>
      </c>
      <c r="H383" s="3687"/>
      <c r="I383" s="3687"/>
      <c r="J383" s="3681"/>
      <c r="K383" s="933" t="str">
        <f>IF(K378=$S$14,$T$13,IF(ROUNDDOWN(K378,0)=$S$13,$U$13,$T$13))</f>
        <v>　レベル　5</v>
      </c>
      <c r="L383" s="3682" t="s">
        <v>1788</v>
      </c>
      <c r="M383" s="3688"/>
      <c r="N383" s="3688"/>
      <c r="O383" s="3683"/>
    </row>
    <row r="384" spans="2:15" ht="15.75" hidden="1">
      <c r="B384" s="940">
        <v>0</v>
      </c>
      <c r="C384" s="940">
        <v>0</v>
      </c>
      <c r="D384" s="888"/>
      <c r="E384" s="889"/>
      <c r="F384" s="1118"/>
      <c r="G384" s="1082"/>
      <c r="H384" s="975"/>
      <c r="I384" s="975"/>
      <c r="J384" s="975"/>
      <c r="K384" s="975"/>
      <c r="L384" s="975"/>
      <c r="M384" s="975"/>
      <c r="N384" s="975"/>
      <c r="O384" s="975"/>
    </row>
    <row r="385" spans="2:15" ht="15.75" hidden="1">
      <c r="D385" s="888"/>
      <c r="E385" s="889"/>
      <c r="F385" s="2263" t="s">
        <v>1634</v>
      </c>
      <c r="G385" s="976"/>
      <c r="H385" s="1025"/>
      <c r="I385" s="1005"/>
      <c r="J385" s="979" t="str">
        <f>IF(OR(F387=0,AND(J386=0,O386=0)),$R$3,"")</f>
        <v>&lt;評価しない&gt;</v>
      </c>
      <c r="K385" s="1064"/>
      <c r="L385" s="976"/>
      <c r="M385" s="1025"/>
      <c r="N385" s="1005"/>
      <c r="O385" s="979"/>
    </row>
    <row r="386" spans="2:15" ht="16.5" hidden="1" thickBot="1">
      <c r="D386" s="888"/>
      <c r="E386" s="889"/>
      <c r="F386" s="903" t="s">
        <v>1252</v>
      </c>
      <c r="G386" s="904"/>
      <c r="H386" s="905"/>
      <c r="I386" s="906" t="s">
        <v>1121</v>
      </c>
      <c r="J386" s="909">
        <f>重み!M52</f>
        <v>0</v>
      </c>
      <c r="K386" s="903" t="s">
        <v>1611</v>
      </c>
      <c r="L386" s="904"/>
      <c r="M386" s="905"/>
      <c r="N386" s="906" t="s">
        <v>1121</v>
      </c>
      <c r="O386" s="909">
        <f>重み!N52</f>
        <v>0</v>
      </c>
    </row>
    <row r="387" spans="2:15" ht="16.5" hidden="1" thickBot="1">
      <c r="D387" s="888"/>
      <c r="E387" s="889"/>
      <c r="F387" s="910">
        <v>0</v>
      </c>
      <c r="G387" s="1031" t="s">
        <v>1635</v>
      </c>
      <c r="H387" s="1031"/>
      <c r="I387" s="1116" t="s">
        <v>183</v>
      </c>
      <c r="J387" s="1117"/>
      <c r="K387" s="910">
        <v>0</v>
      </c>
      <c r="L387" s="1026" t="s">
        <v>729</v>
      </c>
      <c r="M387" s="916"/>
      <c r="N387" s="1026"/>
      <c r="O387" s="1031"/>
    </row>
    <row r="388" spans="2:15" ht="15.75" hidden="1">
      <c r="B388" s="1">
        <v>1</v>
      </c>
      <c r="C388" s="1">
        <v>1</v>
      </c>
      <c r="D388" s="888"/>
      <c r="E388" s="889"/>
      <c r="F388" s="917" t="str">
        <f>IF(F387=$S$14,$T$9,IF(ROUNDDOWN(F387,0)=$S$9,$U$9,$T$9))</f>
        <v>　レベル　1</v>
      </c>
      <c r="G388" s="3750" t="s">
        <v>184</v>
      </c>
      <c r="H388" s="3751"/>
      <c r="I388" s="3745" t="s">
        <v>184</v>
      </c>
      <c r="J388" s="3746"/>
      <c r="K388" s="917" t="str">
        <f>IF(K387=$S$14,$T$9,IF(ROUNDDOWN(K387,0)=$S$9,$U$9,$T$9))</f>
        <v>　レベル　1</v>
      </c>
      <c r="L388" s="3678" t="s">
        <v>312</v>
      </c>
      <c r="M388" s="3698"/>
      <c r="N388" s="3698"/>
      <c r="O388" s="3684"/>
    </row>
    <row r="389" spans="2:15" ht="15.75" hidden="1">
      <c r="B389" s="1" t="s">
        <v>185</v>
      </c>
      <c r="C389" s="1" t="s">
        <v>185</v>
      </c>
      <c r="D389" s="888"/>
      <c r="E389" s="889"/>
      <c r="F389" s="922" t="str">
        <f>IF(F387=$S$14,$T$10,IF(ROUNDDOWN(F387,0)=$S$10,$U$10,$T$10))</f>
        <v>　レベル　2</v>
      </c>
      <c r="G389" s="3682" t="s">
        <v>1788</v>
      </c>
      <c r="H389" s="3726"/>
      <c r="I389" s="3745" t="s">
        <v>1788</v>
      </c>
      <c r="J389" s="3747"/>
      <c r="K389" s="922" t="str">
        <f>IF(K387=$S$14,$T$10,IF(ROUNDDOWN(K387,0)=$S$10,$U$10,$T$10))</f>
        <v>　レベル　2</v>
      </c>
      <c r="L389" s="3716" t="s">
        <v>1788</v>
      </c>
      <c r="M389" s="3717"/>
      <c r="N389" s="3717"/>
      <c r="O389" s="3718"/>
    </row>
    <row r="390" spans="2:15" ht="15.75" hidden="1">
      <c r="B390" s="1">
        <v>3</v>
      </c>
      <c r="C390" s="1">
        <v>3</v>
      </c>
      <c r="D390" s="888"/>
      <c r="E390" s="889"/>
      <c r="F390" s="922" t="str">
        <f>IF(F387=$S$14,$T$11,IF(ROUNDDOWN(F387,0)=$S$11,$U$11,$T$11))</f>
        <v>　レベル　3</v>
      </c>
      <c r="G390" s="3682" t="s">
        <v>2707</v>
      </c>
      <c r="H390" s="3726"/>
      <c r="I390" s="3745" t="s">
        <v>186</v>
      </c>
      <c r="J390" s="3746"/>
      <c r="K390" s="922" t="str">
        <f>IF(K387=$S$14,$T$11,IF(ROUNDDOWN(K387,0)=$S$11,$U$11,$T$11))</f>
        <v>　レベル　3</v>
      </c>
      <c r="L390" s="3716" t="s">
        <v>2706</v>
      </c>
      <c r="M390" s="3717"/>
      <c r="N390" s="3717"/>
      <c r="O390" s="3718"/>
    </row>
    <row r="391" spans="2:15" ht="15.75" hidden="1">
      <c r="B391" s="1">
        <v>4</v>
      </c>
      <c r="C391" s="1">
        <v>4</v>
      </c>
      <c r="D391" s="888"/>
      <c r="E391" s="889"/>
      <c r="F391" s="922" t="str">
        <f>IF(F387=$S$14,$T$12,IF(ROUNDDOWN(F387,0)=$S$12,$U$12,$T$12))</f>
        <v>　レベル　4</v>
      </c>
      <c r="G391" s="3682" t="s">
        <v>2708</v>
      </c>
      <c r="H391" s="3726"/>
      <c r="I391" s="3745" t="s">
        <v>1788</v>
      </c>
      <c r="J391" s="3746"/>
      <c r="K391" s="922" t="str">
        <f>IF(K387=$S$14,$T$12,IF(ROUNDDOWN(K387,0)=$S$12,$U$12,$T$12))</f>
        <v>　レベル　4</v>
      </c>
      <c r="L391" s="3716" t="s">
        <v>2708</v>
      </c>
      <c r="M391" s="3717"/>
      <c r="N391" s="3717"/>
      <c r="O391" s="3718"/>
    </row>
    <row r="392" spans="2:15" ht="15.75" hidden="1">
      <c r="B392" s="1">
        <v>5</v>
      </c>
      <c r="C392" s="1">
        <v>5</v>
      </c>
      <c r="D392" s="888"/>
      <c r="E392" s="889"/>
      <c r="F392" s="933" t="str">
        <f>IF(F387=$S$14,$T$13,IF(ROUNDDOWN(F387,0)=$S$13,$U$13,$T$13))</f>
        <v>　レベル　5</v>
      </c>
      <c r="G392" s="3752" t="s">
        <v>2709</v>
      </c>
      <c r="H392" s="3753"/>
      <c r="I392" s="3748" t="s">
        <v>2710</v>
      </c>
      <c r="J392" s="3749"/>
      <c r="K392" s="933" t="str">
        <f>IF(K387=$S$14,$T$13,IF(ROUNDDOWN(K387,0)=$S$13,$U$13,$T$13))</f>
        <v>　レベル　5</v>
      </c>
      <c r="L392" s="3707" t="s">
        <v>2709</v>
      </c>
      <c r="M392" s="3727"/>
      <c r="N392" s="3727"/>
      <c r="O392" s="3728"/>
    </row>
    <row r="393" spans="2:15" ht="15.75" hidden="1">
      <c r="B393" s="940">
        <v>0</v>
      </c>
      <c r="C393" s="940">
        <v>0</v>
      </c>
      <c r="D393" s="888"/>
      <c r="E393" s="893"/>
      <c r="F393" s="893"/>
      <c r="G393" s="1030"/>
      <c r="H393" s="1030"/>
      <c r="I393" s="1030"/>
      <c r="J393" s="1030"/>
      <c r="K393" s="1030"/>
      <c r="L393" s="1030"/>
      <c r="M393" s="1030"/>
      <c r="N393" s="1030"/>
      <c r="O393" s="1030"/>
    </row>
    <row r="394" spans="2:15" ht="15.75" hidden="1">
      <c r="D394" s="888"/>
      <c r="E394" s="1038"/>
      <c r="F394" s="2263" t="s">
        <v>1636</v>
      </c>
      <c r="G394" s="976"/>
      <c r="H394" s="1025"/>
      <c r="I394" s="1005"/>
      <c r="J394" s="979" t="str">
        <f>IF(OR(F396=0,AND(J395=0,O395=0)),$R$3,"")</f>
        <v>&lt;評価しない&gt;</v>
      </c>
      <c r="K394" s="1064"/>
      <c r="L394" s="976"/>
      <c r="M394" s="1025"/>
      <c r="N394" s="1005"/>
      <c r="O394" s="979"/>
    </row>
    <row r="395" spans="2:15" ht="16.5" hidden="1" thickBot="1">
      <c r="D395" s="888"/>
      <c r="E395" s="1038"/>
      <c r="F395" s="903" t="s">
        <v>257</v>
      </c>
      <c r="G395" s="904"/>
      <c r="H395" s="905"/>
      <c r="I395" s="906" t="s">
        <v>1121</v>
      </c>
      <c r="J395" s="909">
        <f>重み!M53</f>
        <v>0</v>
      </c>
      <c r="K395" s="903" t="s">
        <v>1611</v>
      </c>
      <c r="L395" s="904"/>
      <c r="M395" s="905"/>
      <c r="N395" s="906" t="s">
        <v>1121</v>
      </c>
      <c r="O395" s="909">
        <f>重み!N53</f>
        <v>0</v>
      </c>
    </row>
    <row r="396" spans="2:15" ht="16.5" hidden="1" thickBot="1">
      <c r="D396" s="888"/>
      <c r="E396" s="1038"/>
      <c r="F396" s="910">
        <v>0</v>
      </c>
      <c r="G396" s="1026" t="s">
        <v>1637</v>
      </c>
      <c r="H396" s="915"/>
      <c r="I396" s="1052"/>
      <c r="J396" s="916"/>
      <c r="K396" s="910">
        <v>0</v>
      </c>
      <c r="L396" s="1026" t="s">
        <v>729</v>
      </c>
      <c r="M396" s="916"/>
      <c r="N396" s="1026"/>
      <c r="O396" s="1031"/>
    </row>
    <row r="397" spans="2:15" ht="15.75" hidden="1">
      <c r="B397" s="1">
        <v>1</v>
      </c>
      <c r="C397" s="1">
        <v>1</v>
      </c>
      <c r="D397" s="888"/>
      <c r="E397" s="1039"/>
      <c r="F397" s="917" t="str">
        <f>IF(F396=$S$14,$T$9,IF(ROUNDDOWN(F396,0)=$S$9,$U$9,$T$9))</f>
        <v>　レベル　1</v>
      </c>
      <c r="G397" s="3678" t="s">
        <v>312</v>
      </c>
      <c r="H397" s="3698"/>
      <c r="I397" s="3698"/>
      <c r="J397" s="3684"/>
      <c r="K397" s="917" t="str">
        <f>IF(K396=$S$14,$T$9,IF(ROUNDDOWN(K396,0)=$S$9,$U$9,$T$9))</f>
        <v>　レベル　1</v>
      </c>
      <c r="L397" s="3678" t="s">
        <v>312</v>
      </c>
      <c r="M397" s="3698"/>
      <c r="N397" s="3698"/>
      <c r="O397" s="3684"/>
    </row>
    <row r="398" spans="2:15" ht="15.75" hidden="1">
      <c r="B398" s="1" t="s">
        <v>185</v>
      </c>
      <c r="C398" s="1" t="s">
        <v>185</v>
      </c>
      <c r="D398" s="888"/>
      <c r="E398" s="1039"/>
      <c r="F398" s="922" t="str">
        <f>IF(F396=$S$14,$T$10,IF(ROUNDDOWN(F396,0)=$S$10,$U$10,$T$10))</f>
        <v>　レベル　2</v>
      </c>
      <c r="G398" s="3682" t="s">
        <v>1788</v>
      </c>
      <c r="H398" s="3688"/>
      <c r="I398" s="3688"/>
      <c r="J398" s="3683"/>
      <c r="K398" s="922" t="str">
        <f>IF(K396=$S$14,$T$10,IF(ROUNDDOWN(K396,0)=$S$10,$U$10,$T$10))</f>
        <v>　レベル　2</v>
      </c>
      <c r="L398" s="3716" t="s">
        <v>1788</v>
      </c>
      <c r="M398" s="3717"/>
      <c r="N398" s="3717"/>
      <c r="O398" s="3718"/>
    </row>
    <row r="399" spans="2:15" ht="15.75" hidden="1">
      <c r="B399" s="1">
        <v>3</v>
      </c>
      <c r="C399" s="1">
        <v>3</v>
      </c>
      <c r="D399" s="888"/>
      <c r="E399" s="1039"/>
      <c r="F399" s="922" t="str">
        <f>IF(F396=$S$14,$T$11,IF(ROUNDDOWN(F396,0)=$S$11,$U$11,$T$11))</f>
        <v>　レベル　3</v>
      </c>
      <c r="G399" s="3682" t="s">
        <v>2711</v>
      </c>
      <c r="H399" s="3688"/>
      <c r="I399" s="3688"/>
      <c r="J399" s="3683"/>
      <c r="K399" s="922" t="str">
        <f>IF(K396=$S$14,$T$11,IF(ROUNDDOWN(K396,0)=$S$11,$U$11,$T$11))</f>
        <v>　レベル　3</v>
      </c>
      <c r="L399" s="3716" t="s">
        <v>2711</v>
      </c>
      <c r="M399" s="3717"/>
      <c r="N399" s="3717"/>
      <c r="O399" s="3718"/>
    </row>
    <row r="400" spans="2:15" ht="15.75" hidden="1">
      <c r="B400" s="1">
        <v>4</v>
      </c>
      <c r="C400" s="1">
        <v>4</v>
      </c>
      <c r="D400" s="888"/>
      <c r="E400" s="1039"/>
      <c r="F400" s="922" t="str">
        <f>IF(F396=$S$14,$T$12,IF(ROUNDDOWN(F396,0)=$S$12,$U$12,$T$12))</f>
        <v>　レベル　4</v>
      </c>
      <c r="G400" s="3682" t="s">
        <v>2712</v>
      </c>
      <c r="H400" s="3688"/>
      <c r="I400" s="3688"/>
      <c r="J400" s="3683"/>
      <c r="K400" s="922" t="str">
        <f>IF(K396=$S$14,$T$12,IF(ROUNDDOWN(K396,0)=$S$12,$U$12,$T$12))</f>
        <v>　レベル　4</v>
      </c>
      <c r="L400" s="3716" t="s">
        <v>2712</v>
      </c>
      <c r="M400" s="3717"/>
      <c r="N400" s="3717"/>
      <c r="O400" s="3718"/>
    </row>
    <row r="401" spans="2:15" ht="15.75" hidden="1">
      <c r="B401" s="1">
        <v>5</v>
      </c>
      <c r="C401" s="1">
        <v>5</v>
      </c>
      <c r="D401" s="888"/>
      <c r="E401" s="1039"/>
      <c r="F401" s="933" t="str">
        <f>IF(F396=$S$14,$T$13,IF(ROUNDDOWN(F396,0)=$S$13,$U$13,$T$13))</f>
        <v>　レベル　5</v>
      </c>
      <c r="G401" s="3680" t="s">
        <v>2713</v>
      </c>
      <c r="H401" s="3687"/>
      <c r="I401" s="3687"/>
      <c r="J401" s="3681"/>
      <c r="K401" s="933" t="str">
        <f>IF(K396=$S$14,$T$13,IF(ROUNDDOWN(K396,0)=$S$13,$U$13,$T$13))</f>
        <v>　レベル　5</v>
      </c>
      <c r="L401" s="3707" t="s">
        <v>2713</v>
      </c>
      <c r="M401" s="3727"/>
      <c r="N401" s="3727"/>
      <c r="O401" s="3728"/>
    </row>
    <row r="402" spans="2:15" ht="15.75">
      <c r="B402" s="940">
        <v>0</v>
      </c>
      <c r="C402" s="940">
        <v>0</v>
      </c>
      <c r="D402" s="888"/>
      <c r="E402" s="889"/>
      <c r="F402" s="889"/>
      <c r="G402" s="975"/>
      <c r="H402" s="975"/>
      <c r="I402" s="975"/>
      <c r="J402" s="975"/>
      <c r="K402" s="975"/>
      <c r="L402" s="975"/>
      <c r="M402" s="975"/>
      <c r="N402" s="975"/>
      <c r="O402" s="975"/>
    </row>
    <row r="403" spans="2:15" ht="15.75">
      <c r="D403" s="1311">
        <v>4.2</v>
      </c>
      <c r="E403" s="1022" t="s">
        <v>1082</v>
      </c>
      <c r="F403" s="896"/>
      <c r="G403" s="1023" t="str">
        <f>IF(AND(J414="対象外",J414&gt;0.001),"★入力エラー：レベル１～５を選択し直してください！","")</f>
        <v/>
      </c>
      <c r="H403" s="1024"/>
      <c r="I403" s="1024"/>
      <c r="J403" s="1024"/>
      <c r="K403" s="1024"/>
      <c r="L403" s="1023"/>
      <c r="M403" s="1024"/>
      <c r="N403" s="1024"/>
      <c r="O403" s="1024"/>
    </row>
    <row r="404" spans="2:15" ht="15.75">
      <c r="D404" s="888"/>
      <c r="E404" s="1038"/>
      <c r="F404" s="899" t="s">
        <v>1083</v>
      </c>
      <c r="G404" s="976"/>
      <c r="H404" s="1025"/>
      <c r="I404" s="1005"/>
      <c r="J404" s="979" t="str">
        <f>IF(OR(F406=0,AND(J405=0,O405=0)),$R$3,"")</f>
        <v/>
      </c>
      <c r="K404" s="1064"/>
      <c r="L404" s="976"/>
      <c r="M404" s="1025"/>
      <c r="N404" s="1005"/>
      <c r="O404" s="979"/>
    </row>
    <row r="405" spans="2:15" ht="16.5" thickBot="1">
      <c r="D405" s="888"/>
      <c r="E405" s="1038"/>
      <c r="F405" s="903" t="s">
        <v>1120</v>
      </c>
      <c r="G405" s="904"/>
      <c r="H405" s="905"/>
      <c r="I405" s="906" t="s">
        <v>1121</v>
      </c>
      <c r="J405" s="909">
        <f>重み!M55</f>
        <v>0.33595800524934383</v>
      </c>
      <c r="K405" s="903" t="s">
        <v>1611</v>
      </c>
      <c r="L405" s="904"/>
      <c r="M405" s="905"/>
      <c r="N405" s="906" t="s">
        <v>1121</v>
      </c>
      <c r="O405" s="909">
        <f>重み!N55</f>
        <v>5.2493438320209973E-3</v>
      </c>
    </row>
    <row r="406" spans="2:15" ht="16.5" thickBot="1">
      <c r="D406" s="888"/>
      <c r="E406" s="1039"/>
      <c r="F406" s="910">
        <v>3</v>
      </c>
      <c r="G406" s="1026" t="s">
        <v>1084</v>
      </c>
      <c r="H406" s="915"/>
      <c r="I406" s="1052" t="s">
        <v>381</v>
      </c>
      <c r="J406" s="916"/>
      <c r="K406" s="910">
        <v>3</v>
      </c>
      <c r="L406" s="1026" t="s">
        <v>729</v>
      </c>
      <c r="M406" s="916"/>
      <c r="N406" s="1026"/>
      <c r="O406" s="1031"/>
    </row>
    <row r="407" spans="2:15" ht="15.75" customHeight="1">
      <c r="B407" s="1">
        <v>1</v>
      </c>
      <c r="C407" s="1">
        <v>1</v>
      </c>
      <c r="D407" s="888"/>
      <c r="E407" s="893"/>
      <c r="F407" s="917" t="str">
        <f>IF(F406=$S$14,$T$9,IF(ROUNDDOWN(F406,0)=$S$9,$U$9,$T$9))</f>
        <v>　レベル　1</v>
      </c>
      <c r="G407" s="3682" t="s">
        <v>341</v>
      </c>
      <c r="H407" s="3730"/>
      <c r="I407" s="3682" t="s">
        <v>1788</v>
      </c>
      <c r="J407" s="3730"/>
      <c r="K407" s="917" t="str">
        <f>IF(K406=$S$14,$T$9,IF(ROUNDDOWN(K406,0)=$S$9,$U$9,$T$9))</f>
        <v>　レベル　1</v>
      </c>
      <c r="L407" s="3682" t="s">
        <v>341</v>
      </c>
      <c r="M407" s="3688"/>
      <c r="N407" s="3688"/>
      <c r="O407" s="3683"/>
    </row>
    <row r="408" spans="2:15" ht="15.75" customHeight="1">
      <c r="B408" s="1" t="s">
        <v>2357</v>
      </c>
      <c r="C408" s="1" t="s">
        <v>2357</v>
      </c>
      <c r="D408" s="888"/>
      <c r="E408" s="893"/>
      <c r="F408" s="922" t="str">
        <f>IF(F406=$S$14,$T$10,IF(ROUNDDOWN(F406,0)=$S$10,$U$10,$T$10))</f>
        <v>　レベル　2</v>
      </c>
      <c r="G408" s="3682" t="s">
        <v>1788</v>
      </c>
      <c r="H408" s="3699"/>
      <c r="I408" s="3682" t="s">
        <v>1788</v>
      </c>
      <c r="J408" s="3726"/>
      <c r="K408" s="922" t="str">
        <f>IF(K406=$S$14,$T$10,IF(ROUNDDOWN(K406,0)=$S$10,$U$10,$T$10))</f>
        <v>　レベル　2</v>
      </c>
      <c r="L408" s="3682" t="s">
        <v>1788</v>
      </c>
      <c r="M408" s="3756"/>
      <c r="N408" s="3756"/>
      <c r="O408" s="3730"/>
    </row>
    <row r="409" spans="2:15" ht="77.25" customHeight="1">
      <c r="B409" s="1">
        <v>3</v>
      </c>
      <c r="C409" s="1">
        <v>3</v>
      </c>
      <c r="D409" s="888"/>
      <c r="E409" s="893"/>
      <c r="F409" s="922" t="str">
        <f>IF(F406=$S$14,$T$11,IF(ROUNDDOWN(F406,0)=$S$11,$U$11,$T$11))</f>
        <v>■レベル　3</v>
      </c>
      <c r="G409" s="3682" t="s">
        <v>842</v>
      </c>
      <c r="H409" s="3730"/>
      <c r="I409" s="3754" t="s">
        <v>3812</v>
      </c>
      <c r="J409" s="3755"/>
      <c r="K409" s="922" t="str">
        <f>IF(K406=$S$14,$T$11,IF(ROUNDDOWN(K406,0)=$S$11,$U$11,$T$11))</f>
        <v>■レベル　3</v>
      </c>
      <c r="L409" s="3682" t="s">
        <v>842</v>
      </c>
      <c r="M409" s="3688"/>
      <c r="N409" s="3688"/>
      <c r="O409" s="3683"/>
    </row>
    <row r="410" spans="2:15" ht="77.25" customHeight="1">
      <c r="B410" s="1">
        <v>4</v>
      </c>
      <c r="C410" s="1">
        <v>4</v>
      </c>
      <c r="D410" s="888"/>
      <c r="E410" s="893"/>
      <c r="F410" s="922" t="str">
        <f>IF(F406=$S$14,$T$12,IF(ROUNDDOWN(F406,0)=$S$12,$U$12,$T$12))</f>
        <v>　レベル　4</v>
      </c>
      <c r="G410" s="3682" t="s">
        <v>1085</v>
      </c>
      <c r="H410" s="3730"/>
      <c r="I410" s="3754" t="s">
        <v>3813</v>
      </c>
      <c r="J410" s="3755"/>
      <c r="K410" s="922" t="str">
        <f>IF(K406=$S$14,$T$12,IF(ROUNDDOWN(K406,0)=$S$12,$U$12,$T$12))</f>
        <v>　レベル　4</v>
      </c>
      <c r="L410" s="3682" t="s">
        <v>1085</v>
      </c>
      <c r="M410" s="3688"/>
      <c r="N410" s="3688"/>
      <c r="O410" s="3683"/>
    </row>
    <row r="411" spans="2:15" ht="77.25" customHeight="1">
      <c r="B411" s="1">
        <v>5</v>
      </c>
      <c r="C411" s="1">
        <v>5</v>
      </c>
      <c r="D411" s="888"/>
      <c r="E411" s="893"/>
      <c r="F411" s="933" t="str">
        <f>IF(F406=$S$14,$T$13,IF(ROUNDDOWN(F406,0)=$S$13,$U$13,$T$13))</f>
        <v>　レベル　5</v>
      </c>
      <c r="G411" s="3680" t="s">
        <v>1086</v>
      </c>
      <c r="H411" s="3681"/>
      <c r="I411" s="3757" t="s">
        <v>3814</v>
      </c>
      <c r="J411" s="3758"/>
      <c r="K411" s="933" t="str">
        <f>IF(K406=$S$14,$T$13,IF(ROUNDDOWN(K406,0)=$S$13,$U$13,$T$13))</f>
        <v>　レベル　5</v>
      </c>
      <c r="L411" s="3680" t="s">
        <v>1086</v>
      </c>
      <c r="M411" s="3687"/>
      <c r="N411" s="3687"/>
      <c r="O411" s="3681"/>
    </row>
    <row r="412" spans="2:15" ht="15.75">
      <c r="B412" s="940">
        <v>0</v>
      </c>
      <c r="C412" s="940">
        <v>0</v>
      </c>
      <c r="D412" s="888"/>
      <c r="E412" s="893"/>
      <c r="F412" s="889"/>
      <c r="G412" s="975"/>
      <c r="H412" s="975"/>
      <c r="I412" s="975"/>
      <c r="J412" s="975"/>
      <c r="K412" s="975"/>
      <c r="L412" s="975"/>
      <c r="M412" s="975"/>
      <c r="N412" s="975"/>
      <c r="O412" s="975"/>
    </row>
    <row r="413" spans="2:15" ht="15.75">
      <c r="D413" s="888"/>
      <c r="E413" s="893"/>
      <c r="F413" s="899" t="s">
        <v>1087</v>
      </c>
      <c r="G413" s="976"/>
      <c r="H413" s="1025"/>
      <c r="I413" s="1005"/>
      <c r="J413" s="979" t="str">
        <f>IF(OR(F415=0,AND(J414=0,O414=0)),$R$3,"")</f>
        <v/>
      </c>
      <c r="K413" s="1064"/>
      <c r="L413" s="976"/>
      <c r="M413" s="1025"/>
      <c r="N413" s="1005"/>
      <c r="O413" s="979"/>
    </row>
    <row r="414" spans="2:15" ht="16.5" thickBot="1">
      <c r="D414" s="888"/>
      <c r="E414" s="893"/>
      <c r="F414" s="903" t="s">
        <v>2038</v>
      </c>
      <c r="G414" s="904"/>
      <c r="H414" s="905"/>
      <c r="I414" s="906" t="s">
        <v>1121</v>
      </c>
      <c r="J414" s="909">
        <f>重み!M56</f>
        <v>0.32808398950131235</v>
      </c>
      <c r="K414" s="903" t="s">
        <v>1611</v>
      </c>
      <c r="L414" s="904"/>
      <c r="M414" s="905"/>
      <c r="N414" s="906" t="s">
        <v>1121</v>
      </c>
      <c r="O414" s="909">
        <f>重み!N56</f>
        <v>5.2493438320209973E-3</v>
      </c>
    </row>
    <row r="415" spans="2:15" ht="16.5" thickBot="1">
      <c r="D415" s="888"/>
      <c r="E415" s="893"/>
      <c r="F415" s="910">
        <v>3</v>
      </c>
      <c r="G415" s="3018" t="s">
        <v>3815</v>
      </c>
      <c r="H415" s="915"/>
      <c r="I415" s="1052" t="s">
        <v>18</v>
      </c>
      <c r="J415" s="916"/>
      <c r="K415" s="910">
        <v>3</v>
      </c>
      <c r="L415" s="1026" t="s">
        <v>1844</v>
      </c>
      <c r="M415" s="916"/>
      <c r="N415" s="1026" t="s">
        <v>1556</v>
      </c>
      <c r="O415" s="916"/>
    </row>
    <row r="416" spans="2:15" ht="15.75" customHeight="1">
      <c r="B416" s="1">
        <v>1</v>
      </c>
      <c r="C416" s="1">
        <v>1</v>
      </c>
      <c r="D416" s="888"/>
      <c r="E416" s="893"/>
      <c r="F416" s="917" t="str">
        <f>IF(F415=$S$14,$T$9,IF(ROUNDDOWN(F415,0)=$S$9,$U$9,$T$9))</f>
        <v>　レベル　1</v>
      </c>
      <c r="G416" s="3678" t="s">
        <v>312</v>
      </c>
      <c r="H416" s="3684"/>
      <c r="I416" s="3678" t="s">
        <v>312</v>
      </c>
      <c r="J416" s="3684"/>
      <c r="K416" s="917" t="str">
        <f>IF(K415=$S$14,$T$9,IF(ROUNDDOWN(K415,0)=$S$9,$U$9,$T$9))</f>
        <v>　レベル　1</v>
      </c>
      <c r="L416" s="3678" t="s">
        <v>1343</v>
      </c>
      <c r="M416" s="3696"/>
      <c r="N416" s="3678" t="s">
        <v>1343</v>
      </c>
      <c r="O416" s="3696"/>
    </row>
    <row r="417" spans="2:15" ht="15.75" customHeight="1">
      <c r="B417" s="1" t="s">
        <v>2355</v>
      </c>
      <c r="C417" s="1" t="s">
        <v>2355</v>
      </c>
      <c r="D417" s="888"/>
      <c r="E417" s="893"/>
      <c r="F417" s="922" t="str">
        <f>IF(F415=$S$14,$T$10,IF(ROUNDDOWN(F415,0)=$S$10,$U$10,$T$10))</f>
        <v>　レベル　2</v>
      </c>
      <c r="G417" s="3682" t="s">
        <v>1788</v>
      </c>
      <c r="H417" s="3726"/>
      <c r="I417" s="3682" t="s">
        <v>1788</v>
      </c>
      <c r="J417" s="3726"/>
      <c r="K417" s="922" t="str">
        <f>IF(K415=$S$14,$T$10,IF(ROUNDDOWN(K415,0)=$S$10,$U$10,$T$10))</f>
        <v>　レベル　2</v>
      </c>
      <c r="L417" s="3682" t="s">
        <v>1788</v>
      </c>
      <c r="M417" s="3683"/>
      <c r="N417" s="3682" t="s">
        <v>1788</v>
      </c>
      <c r="O417" s="3683"/>
    </row>
    <row r="418" spans="2:15" ht="86.25" customHeight="1">
      <c r="B418" s="1">
        <v>3</v>
      </c>
      <c r="C418" s="1">
        <v>3</v>
      </c>
      <c r="D418" s="888"/>
      <c r="E418" s="893"/>
      <c r="F418" s="922" t="str">
        <f>IF(F415=$S$14,$T$11,IF(ROUNDDOWN(F415,0)=$S$11,$U$11,$T$11))</f>
        <v>■レベル　3</v>
      </c>
      <c r="G418" s="3682" t="s">
        <v>2714</v>
      </c>
      <c r="H418" s="3726"/>
      <c r="I418" s="3682" t="s">
        <v>15</v>
      </c>
      <c r="J418" s="3726"/>
      <c r="K418" s="922" t="str">
        <f>IF(K415=$S$14,$T$11,IF(ROUNDDOWN(K415,0)=$S$11,$U$11,$T$11))</f>
        <v>■レベル　3</v>
      </c>
      <c r="L418" s="3682" t="s">
        <v>2715</v>
      </c>
      <c r="M418" s="3683"/>
      <c r="N418" s="3682" t="s">
        <v>1757</v>
      </c>
      <c r="O418" s="3683"/>
    </row>
    <row r="419" spans="2:15" ht="110.25" customHeight="1">
      <c r="B419" s="1">
        <v>4</v>
      </c>
      <c r="C419" s="1">
        <v>4</v>
      </c>
      <c r="D419" s="888"/>
      <c r="E419" s="893"/>
      <c r="F419" s="922" t="str">
        <f>IF(F415=$S$14,$T$12,IF(ROUNDDOWN(F415,0)=$S$12,$U$12,$T$12))</f>
        <v>　レベル　4</v>
      </c>
      <c r="G419" s="3682" t="s">
        <v>2716</v>
      </c>
      <c r="H419" s="3726"/>
      <c r="I419" s="3682" t="s">
        <v>16</v>
      </c>
      <c r="J419" s="3726"/>
      <c r="K419" s="922" t="str">
        <f>IF(K415=$S$14,$T$12,IF(ROUNDDOWN(K415,0)=$S$12,$U$12,$T$12))</f>
        <v>　レベル　4</v>
      </c>
      <c r="L419" s="3682" t="s">
        <v>2717</v>
      </c>
      <c r="M419" s="3683"/>
      <c r="N419" s="3682" t="s">
        <v>1385</v>
      </c>
      <c r="O419" s="3683"/>
    </row>
    <row r="420" spans="2:15" ht="117.75" customHeight="1">
      <c r="B420" s="1">
        <v>5</v>
      </c>
      <c r="C420" s="1">
        <v>5</v>
      </c>
      <c r="D420" s="888"/>
      <c r="E420" s="893"/>
      <c r="F420" s="933" t="str">
        <f>IF(F415=$S$14,$T$13,IF(ROUNDDOWN(F415,0)=$S$13,$U$13,$T$13))</f>
        <v>　レベル　5</v>
      </c>
      <c r="G420" s="3680" t="s">
        <v>2718</v>
      </c>
      <c r="H420" s="3710"/>
      <c r="I420" s="3680" t="s">
        <v>17</v>
      </c>
      <c r="J420" s="3710"/>
      <c r="K420" s="933" t="str">
        <f>IF(K415=$S$14,$T$13,IF(ROUNDDOWN(K415,0)=$S$13,$U$13,$T$13))</f>
        <v>　レベル　5</v>
      </c>
      <c r="L420" s="3680" t="s">
        <v>2719</v>
      </c>
      <c r="M420" s="3681"/>
      <c r="N420" s="3680" t="s">
        <v>587</v>
      </c>
      <c r="O420" s="3681"/>
    </row>
    <row r="421" spans="2:15" ht="15.75">
      <c r="B421" s="940">
        <v>0</v>
      </c>
      <c r="C421" s="940">
        <v>0</v>
      </c>
      <c r="D421" s="888"/>
      <c r="E421" s="893"/>
      <c r="F421" s="889"/>
      <c r="G421" s="975"/>
      <c r="H421" s="975"/>
      <c r="I421" s="975"/>
      <c r="J421" s="975"/>
      <c r="K421" s="975"/>
      <c r="L421" s="975"/>
      <c r="M421" s="975"/>
      <c r="N421" s="975"/>
      <c r="O421" s="975"/>
    </row>
    <row r="422" spans="2:15" ht="15.75">
      <c r="D422" s="888"/>
      <c r="E422" s="1038"/>
      <c r="F422" s="899" t="s">
        <v>1478</v>
      </c>
      <c r="G422" s="976"/>
      <c r="H422" s="1025"/>
      <c r="I422" s="1005"/>
      <c r="J422" s="979" t="str">
        <f>IF(OR(F424=0,AND(J423=0,O423=0)),$R$3,"")</f>
        <v/>
      </c>
      <c r="K422" s="1064"/>
      <c r="L422" s="976"/>
      <c r="M422" s="1025"/>
      <c r="N422" s="1005"/>
      <c r="O422" s="979"/>
    </row>
    <row r="423" spans="2:15" ht="16.5" thickBot="1">
      <c r="D423" s="888"/>
      <c r="E423" s="1038"/>
      <c r="F423" s="903" t="s">
        <v>1090</v>
      </c>
      <c r="G423" s="904"/>
      <c r="H423" s="905"/>
      <c r="I423" s="906" t="s">
        <v>1121</v>
      </c>
      <c r="J423" s="909">
        <f>重み!M57</f>
        <v>0.33595800524934383</v>
      </c>
      <c r="K423" s="903" t="s">
        <v>1611</v>
      </c>
      <c r="L423" s="904"/>
      <c r="M423" s="905"/>
      <c r="N423" s="906" t="s">
        <v>1121</v>
      </c>
      <c r="O423" s="909">
        <f>重み!N57</f>
        <v>5.2493438320209973E-3</v>
      </c>
    </row>
    <row r="424" spans="2:15" ht="16.5" thickBot="1">
      <c r="D424" s="888"/>
      <c r="E424" s="1038"/>
      <c r="F424" s="910">
        <v>3</v>
      </c>
      <c r="G424" s="1026" t="s">
        <v>2314</v>
      </c>
      <c r="H424" s="915"/>
      <c r="I424" s="1026" t="s">
        <v>1556</v>
      </c>
      <c r="J424" s="916"/>
      <c r="K424" s="910">
        <v>3</v>
      </c>
      <c r="L424" s="1026" t="s">
        <v>2192</v>
      </c>
      <c r="M424" s="916"/>
      <c r="N424" s="1026" t="s">
        <v>1556</v>
      </c>
      <c r="O424" s="916"/>
    </row>
    <row r="425" spans="2:15" ht="15.75" customHeight="1">
      <c r="B425" s="1">
        <v>1</v>
      </c>
      <c r="C425" s="1">
        <v>1</v>
      </c>
      <c r="D425" s="888"/>
      <c r="E425" s="1039"/>
      <c r="F425" s="917" t="str">
        <f>IF(F424=$S$14,$T$9,IF(ROUNDDOWN(F424,0)=$S$9,$U$9,$T$9))</f>
        <v>　レベル　1</v>
      </c>
      <c r="G425" s="3678" t="s">
        <v>312</v>
      </c>
      <c r="H425" s="3684"/>
      <c r="I425" s="3678" t="s">
        <v>1343</v>
      </c>
      <c r="J425" s="3696"/>
      <c r="K425" s="917" t="str">
        <f>IF(K424=$S$14,$T$9,IF(ROUNDDOWN(K424,0)=$S$9,$U$9,$T$9))</f>
        <v>　レベル　1</v>
      </c>
      <c r="L425" s="3678" t="s">
        <v>1343</v>
      </c>
      <c r="M425" s="3696"/>
      <c r="N425" s="3678" t="s">
        <v>1343</v>
      </c>
      <c r="O425" s="3696"/>
    </row>
    <row r="426" spans="2:15" ht="15.75">
      <c r="B426" s="1" t="s">
        <v>2355</v>
      </c>
      <c r="C426" s="1" t="s">
        <v>2355</v>
      </c>
      <c r="D426" s="888"/>
      <c r="E426" s="1039"/>
      <c r="F426" s="922" t="str">
        <f>IF(F424=$S$14,$T$10,IF(ROUNDDOWN(F424,0)=$S$10,$U$10,$T$10))</f>
        <v>　レベル　2</v>
      </c>
      <c r="G426" s="3682" t="s">
        <v>1788</v>
      </c>
      <c r="H426" s="3683"/>
      <c r="I426" s="3682" t="s">
        <v>1788</v>
      </c>
      <c r="J426" s="3683"/>
      <c r="K426" s="922" t="str">
        <f>IF(K424=$S$14,$T$10,IF(ROUNDDOWN(K424,0)=$S$10,$U$10,$T$10))</f>
        <v>　レベル　2</v>
      </c>
      <c r="L426" s="3682" t="s">
        <v>1788</v>
      </c>
      <c r="M426" s="3683"/>
      <c r="N426" s="3682" t="s">
        <v>1788</v>
      </c>
      <c r="O426" s="3683"/>
    </row>
    <row r="427" spans="2:15" ht="61.5" customHeight="1">
      <c r="B427" s="1">
        <v>3</v>
      </c>
      <c r="C427" s="1">
        <v>3</v>
      </c>
      <c r="D427" s="888"/>
      <c r="E427" s="1039"/>
      <c r="F427" s="922" t="str">
        <f>IF(F424=$S$14,$T$11,IF(ROUNDDOWN(F424,0)=$S$11,$U$11,$T$11))</f>
        <v>■レベル　3</v>
      </c>
      <c r="G427" s="3682" t="s">
        <v>2720</v>
      </c>
      <c r="H427" s="3683"/>
      <c r="I427" s="3682" t="s">
        <v>2721</v>
      </c>
      <c r="J427" s="3683"/>
      <c r="K427" s="922" t="str">
        <f>IF(K424=$S$14,$T$11,IF(ROUNDDOWN(K424,0)=$S$11,$U$11,$T$11))</f>
        <v>■レベル　3</v>
      </c>
      <c r="L427" s="3682" t="s">
        <v>2720</v>
      </c>
      <c r="M427" s="3683"/>
      <c r="N427" s="3682" t="s">
        <v>2721</v>
      </c>
      <c r="O427" s="3683"/>
    </row>
    <row r="428" spans="2:15" ht="61.5" customHeight="1">
      <c r="B428" s="1">
        <v>4</v>
      </c>
      <c r="C428" s="1">
        <v>4</v>
      </c>
      <c r="D428" s="888"/>
      <c r="E428" s="1039"/>
      <c r="F428" s="922" t="str">
        <f>IF(F424=$S$14,$T$12,IF(ROUNDDOWN(F424,0)=$S$12,$U$12,$T$12))</f>
        <v>　レベル　4</v>
      </c>
      <c r="G428" s="3682" t="s">
        <v>2722</v>
      </c>
      <c r="H428" s="3683"/>
      <c r="I428" s="3682" t="s">
        <v>1788</v>
      </c>
      <c r="J428" s="3683"/>
      <c r="K428" s="922" t="str">
        <f>IF(K424=$S$14,$T$12,IF(ROUNDDOWN(K424,0)=$S$12,$U$12,$T$12))</f>
        <v>　レベル　4</v>
      </c>
      <c r="L428" s="3682" t="s">
        <v>2722</v>
      </c>
      <c r="M428" s="3683"/>
      <c r="N428" s="3682" t="s">
        <v>1788</v>
      </c>
      <c r="O428" s="3683"/>
    </row>
    <row r="429" spans="2:15" ht="70.5" customHeight="1">
      <c r="B429" s="1">
        <v>5</v>
      </c>
      <c r="C429" s="1">
        <v>5</v>
      </c>
      <c r="D429" s="888"/>
      <c r="E429" s="1039"/>
      <c r="F429" s="933" t="str">
        <f>IF(F424=$S$14,$T$13,IF(ROUNDDOWN(F424,0)=$S$13,$U$13,$T$13))</f>
        <v>　レベル　5</v>
      </c>
      <c r="G429" s="3680" t="s">
        <v>2723</v>
      </c>
      <c r="H429" s="3681"/>
      <c r="I429" s="3680" t="s">
        <v>2720</v>
      </c>
      <c r="J429" s="3681"/>
      <c r="K429" s="933" t="str">
        <f>IF(K424=$S$14,$T$13,IF(ROUNDDOWN(K424,0)=$S$13,$U$13,$T$13))</f>
        <v>　レベル　5</v>
      </c>
      <c r="L429" s="3680" t="s">
        <v>2723</v>
      </c>
      <c r="M429" s="3681"/>
      <c r="N429" s="3680" t="s">
        <v>2720</v>
      </c>
      <c r="O429" s="3681"/>
    </row>
    <row r="430" spans="2:15" ht="15.75" hidden="1">
      <c r="B430" s="940">
        <v>0</v>
      </c>
      <c r="C430" s="940">
        <v>0</v>
      </c>
      <c r="D430" s="888"/>
      <c r="E430" s="1039"/>
      <c r="F430" s="1039"/>
      <c r="G430" s="1090"/>
      <c r="H430" s="1090"/>
      <c r="I430" s="1090"/>
      <c r="J430" s="1090"/>
      <c r="K430" s="1090"/>
      <c r="L430" s="1090"/>
      <c r="M430" s="1090"/>
      <c r="N430" s="1090"/>
      <c r="O430" s="1090"/>
    </row>
    <row r="431" spans="2:15" ht="15.75" hidden="1">
      <c r="D431" s="888"/>
      <c r="E431" s="1039"/>
      <c r="F431" s="2263" t="s">
        <v>1826</v>
      </c>
      <c r="G431" s="976"/>
      <c r="H431" s="1025"/>
      <c r="I431" s="1005"/>
      <c r="J431" s="979" t="str">
        <f>IF(OR(F433=0,AND(J432=0,O432=0)),$R$3,"")</f>
        <v>&lt;評価しない&gt;</v>
      </c>
      <c r="K431" s="1064"/>
      <c r="L431" s="976"/>
      <c r="M431" s="1025"/>
      <c r="N431" s="1005"/>
      <c r="O431" s="979"/>
    </row>
    <row r="432" spans="2:15" ht="16.5" hidden="1" thickBot="1">
      <c r="D432" s="888"/>
      <c r="E432" s="1039"/>
      <c r="F432" s="903" t="s">
        <v>2341</v>
      </c>
      <c r="G432" s="904"/>
      <c r="H432" s="905"/>
      <c r="I432" s="906" t="s">
        <v>1121</v>
      </c>
      <c r="J432" s="909">
        <f>重み!M58</f>
        <v>0</v>
      </c>
      <c r="K432" s="903" t="s">
        <v>1611</v>
      </c>
      <c r="L432" s="904"/>
      <c r="M432" s="905"/>
      <c r="N432" s="906" t="s">
        <v>1121</v>
      </c>
      <c r="O432" s="909">
        <f>重み!N58</f>
        <v>0</v>
      </c>
    </row>
    <row r="433" spans="2:15" ht="16.5" hidden="1" thickBot="1">
      <c r="D433" s="888"/>
      <c r="E433" s="1039"/>
      <c r="F433" s="910">
        <v>0</v>
      </c>
      <c r="G433" s="1026" t="s">
        <v>2048</v>
      </c>
      <c r="H433" s="915"/>
      <c r="I433" s="1052"/>
      <c r="J433" s="916"/>
      <c r="K433" s="910">
        <v>0</v>
      </c>
      <c r="L433" s="1026" t="s">
        <v>729</v>
      </c>
      <c r="M433" s="916"/>
      <c r="N433" s="1026"/>
      <c r="O433" s="1031"/>
    </row>
    <row r="434" spans="2:15" ht="15.75" hidden="1" customHeight="1">
      <c r="B434" s="1">
        <v>1</v>
      </c>
      <c r="C434" s="1">
        <v>1</v>
      </c>
      <c r="D434" s="888"/>
      <c r="E434" s="1039"/>
      <c r="F434" s="917" t="str">
        <f>IF(F433=$S$14,$T$9,IF(ROUNDDOWN(F433,0)=$S$9,$U$9,$T$9))</f>
        <v>　レベル　1</v>
      </c>
      <c r="G434" s="3678" t="s">
        <v>312</v>
      </c>
      <c r="H434" s="3698"/>
      <c r="I434" s="3698"/>
      <c r="J434" s="3684"/>
      <c r="K434" s="917" t="str">
        <f>IF(K433=$S$14,$T$9,IF(ROUNDDOWN(K433,0)=$S$9,$U$9,$T$9))</f>
        <v>　レベル　1</v>
      </c>
      <c r="L434" s="3678" t="s">
        <v>312</v>
      </c>
      <c r="M434" s="3698"/>
      <c r="N434" s="3698"/>
      <c r="O434" s="3684"/>
    </row>
    <row r="435" spans="2:15" ht="15.75" hidden="1">
      <c r="B435" s="1" t="s">
        <v>185</v>
      </c>
      <c r="C435" s="1" t="s">
        <v>185</v>
      </c>
      <c r="D435" s="888"/>
      <c r="E435" s="1039"/>
      <c r="F435" s="922" t="str">
        <f>IF(F433=$S$14,$T$10,IF(ROUNDDOWN(F433,0)=$S$10,$U$10,$T$10))</f>
        <v>　レベル　2</v>
      </c>
      <c r="G435" s="3682" t="s">
        <v>1788</v>
      </c>
      <c r="H435" s="3688"/>
      <c r="I435" s="3688"/>
      <c r="J435" s="3683"/>
      <c r="K435" s="922" t="str">
        <f>IF(K433=$S$14,$T$10,IF(ROUNDDOWN(K433,0)=$S$10,$U$10,$T$10))</f>
        <v>　レベル　2</v>
      </c>
      <c r="L435" s="3716" t="s">
        <v>1788</v>
      </c>
      <c r="M435" s="3717"/>
      <c r="N435" s="3717"/>
      <c r="O435" s="3718"/>
    </row>
    <row r="436" spans="2:15" ht="52.5" hidden="1" customHeight="1">
      <c r="B436" s="1">
        <v>3</v>
      </c>
      <c r="C436" s="1">
        <v>3</v>
      </c>
      <c r="D436" s="888"/>
      <c r="E436" s="1039"/>
      <c r="F436" s="922" t="str">
        <f>IF(F433=$S$14,$T$11,IF(ROUNDDOWN(F433,0)=$S$11,$U$11,$T$11))</f>
        <v>　レベル　3</v>
      </c>
      <c r="G436" s="3682" t="s">
        <v>2724</v>
      </c>
      <c r="H436" s="3688"/>
      <c r="I436" s="3688"/>
      <c r="J436" s="3683"/>
      <c r="K436" s="922" t="str">
        <f>IF(K433=$S$14,$T$11,IF(ROUNDDOWN(K433,0)=$S$11,$U$11,$T$11))</f>
        <v>　レベル　3</v>
      </c>
      <c r="L436" s="3716" t="s">
        <v>2724</v>
      </c>
      <c r="M436" s="3717"/>
      <c r="N436" s="3717"/>
      <c r="O436" s="3718"/>
    </row>
    <row r="437" spans="2:15" ht="15.75" hidden="1">
      <c r="B437" s="1" t="s">
        <v>185</v>
      </c>
      <c r="C437" s="1" t="s">
        <v>185</v>
      </c>
      <c r="D437" s="888"/>
      <c r="E437" s="1039"/>
      <c r="F437" s="922" t="str">
        <f>IF(F433=$S$14,$T$12,IF(ROUNDDOWN(F433,0)=$S$12,$U$12,$T$12))</f>
        <v>　レベル　4</v>
      </c>
      <c r="G437" s="3682" t="s">
        <v>1788</v>
      </c>
      <c r="H437" s="3688"/>
      <c r="I437" s="3688"/>
      <c r="J437" s="3683"/>
      <c r="K437" s="922" t="str">
        <f>IF(K433=$S$14,$T$12,IF(ROUNDDOWN(K433,0)=$S$12,$U$12,$T$12))</f>
        <v>　レベル　4</v>
      </c>
      <c r="L437" s="3716" t="s">
        <v>1788</v>
      </c>
      <c r="M437" s="3717"/>
      <c r="N437" s="3717"/>
      <c r="O437" s="3718"/>
    </row>
    <row r="438" spans="2:15" ht="6" hidden="1" customHeight="1">
      <c r="B438" s="1">
        <v>5</v>
      </c>
      <c r="C438" s="1">
        <v>5</v>
      </c>
      <c r="D438" s="888"/>
      <c r="E438" s="1039"/>
      <c r="F438" s="933" t="str">
        <f>IF(F433=$S$14,$T$13,IF(ROUNDDOWN(F433,0)=$S$13,$U$13,$T$13))</f>
        <v>　レベル　5</v>
      </c>
      <c r="G438" s="3680" t="s">
        <v>2725</v>
      </c>
      <c r="H438" s="3687"/>
      <c r="I438" s="3687"/>
      <c r="J438" s="3681"/>
      <c r="K438" s="933" t="str">
        <f>IF(K433=$S$14,$T$13,IF(ROUNDDOWN(K433,0)=$S$13,$U$13,$T$13))</f>
        <v>　レベル　5</v>
      </c>
      <c r="L438" s="3707" t="s">
        <v>2725</v>
      </c>
      <c r="M438" s="3727"/>
      <c r="N438" s="3727"/>
      <c r="O438" s="3728"/>
    </row>
    <row r="439" spans="2:15" ht="15.75">
      <c r="B439" s="940">
        <v>0</v>
      </c>
      <c r="C439" s="940">
        <v>0</v>
      </c>
      <c r="D439" s="888"/>
      <c r="E439" s="893"/>
      <c r="F439" s="893"/>
      <c r="G439" s="1030"/>
      <c r="H439" s="1030"/>
      <c r="I439" s="1030"/>
      <c r="J439" s="1030"/>
      <c r="K439" s="1030"/>
      <c r="L439" s="1030"/>
      <c r="M439" s="1030"/>
      <c r="N439" s="1030"/>
      <c r="O439" s="1030"/>
    </row>
    <row r="440" spans="2:15" ht="15.75">
      <c r="D440" s="1311">
        <v>4.3</v>
      </c>
      <c r="E440" s="1022" t="s">
        <v>1948</v>
      </c>
      <c r="F440" s="896"/>
      <c r="G440" s="1023"/>
      <c r="H440" s="1024"/>
      <c r="I440" s="1024"/>
      <c r="J440" s="1024"/>
      <c r="K440" s="1024"/>
      <c r="L440" s="1024"/>
      <c r="M440" s="1024"/>
      <c r="N440" s="1024"/>
      <c r="O440" s="1024"/>
    </row>
    <row r="441" spans="2:15" ht="15.75">
      <c r="D441" s="888"/>
      <c r="E441" s="893"/>
      <c r="F441" s="899" t="s">
        <v>1361</v>
      </c>
      <c r="G441" s="976"/>
      <c r="H441" s="1025"/>
      <c r="I441" s="1005"/>
      <c r="J441" s="979" t="str">
        <f>IF(OR(F443=0,J442=0),$R$3,"")</f>
        <v/>
      </c>
      <c r="K441" s="1064" t="s">
        <v>1520</v>
      </c>
      <c r="L441" s="976"/>
      <c r="M441" s="1025"/>
      <c r="N441" s="1005"/>
      <c r="O441" s="979" t="str">
        <f>IF(OR(K443=0,O442=0),$R$3,"")</f>
        <v/>
      </c>
    </row>
    <row r="442" spans="2:15" ht="16.5" thickBot="1">
      <c r="D442" s="888"/>
      <c r="E442" s="893"/>
      <c r="F442" s="903" t="s">
        <v>1362</v>
      </c>
      <c r="G442" s="904"/>
      <c r="H442" s="905"/>
      <c r="I442" s="906" t="s">
        <v>1121</v>
      </c>
      <c r="J442" s="909">
        <f>重み!M60</f>
        <v>0.49212598425196852</v>
      </c>
      <c r="K442" s="903" t="s">
        <v>1650</v>
      </c>
      <c r="L442" s="904"/>
      <c r="M442" s="905"/>
      <c r="N442" s="906" t="s">
        <v>1121</v>
      </c>
      <c r="O442" s="909">
        <f>重み!M61</f>
        <v>0.49212598425196852</v>
      </c>
    </row>
    <row r="443" spans="2:15" ht="16.5" thickBot="1">
      <c r="D443" s="888"/>
      <c r="E443" s="893"/>
      <c r="F443" s="910">
        <v>3</v>
      </c>
      <c r="G443" s="1026" t="s">
        <v>1521</v>
      </c>
      <c r="H443" s="915"/>
      <c r="I443" s="1052"/>
      <c r="J443" s="916"/>
      <c r="K443" s="910">
        <v>3</v>
      </c>
      <c r="L443" s="1026" t="s">
        <v>1522</v>
      </c>
      <c r="M443" s="916"/>
      <c r="N443" s="1026"/>
      <c r="O443" s="1031"/>
    </row>
    <row r="444" spans="2:15" ht="15.75">
      <c r="B444" s="1">
        <v>1</v>
      </c>
      <c r="C444" s="1">
        <v>1</v>
      </c>
      <c r="D444" s="888"/>
      <c r="E444" s="893"/>
      <c r="F444" s="917" t="str">
        <f>IF(F443=$S$14,$T$9,IF(ROUNDDOWN(F443,0)=$S$9,$U$9,$T$9))</f>
        <v>　レベル　1</v>
      </c>
      <c r="G444" s="3678" t="s">
        <v>312</v>
      </c>
      <c r="H444" s="3698"/>
      <c r="I444" s="3698"/>
      <c r="J444" s="3684"/>
      <c r="K444" s="917" t="str">
        <f>IF(K443=$S$14,$T$9,IF(ROUNDDOWN(K443,0)=$S$9,$U$9,$T$9))</f>
        <v>　レベル　1</v>
      </c>
      <c r="L444" s="3678" t="s">
        <v>312</v>
      </c>
      <c r="M444" s="3698"/>
      <c r="N444" s="3698"/>
      <c r="O444" s="3684"/>
    </row>
    <row r="445" spans="2:15" ht="15.75">
      <c r="B445" s="1" t="s">
        <v>1787</v>
      </c>
      <c r="C445" s="1" t="s">
        <v>1787</v>
      </c>
      <c r="D445" s="888"/>
      <c r="E445" s="893"/>
      <c r="F445" s="922" t="str">
        <f>IF(F443=$S$14,$T$10,IF(ROUNDDOWN(F443,0)=$S$10,$U$10,$T$10))</f>
        <v>　レベル　2</v>
      </c>
      <c r="G445" s="3682" t="s">
        <v>1788</v>
      </c>
      <c r="H445" s="3688"/>
      <c r="I445" s="3688"/>
      <c r="J445" s="3683"/>
      <c r="K445" s="922" t="str">
        <f>IF(K443=$S$14,$T$10,IF(ROUNDDOWN(K443,0)=$S$10,$U$10,$T$10))</f>
        <v>　レベル　2</v>
      </c>
      <c r="L445" s="3682" t="s">
        <v>1788</v>
      </c>
      <c r="M445" s="3688"/>
      <c r="N445" s="3688"/>
      <c r="O445" s="3683"/>
    </row>
    <row r="446" spans="2:15" ht="45" customHeight="1">
      <c r="B446" s="1">
        <v>3</v>
      </c>
      <c r="C446" s="1">
        <v>3</v>
      </c>
      <c r="D446" s="888"/>
      <c r="E446" s="893"/>
      <c r="F446" s="922" t="str">
        <f>IF(F443=$S$14,$T$11,IF(ROUNDDOWN(F443,0)=$S$11,$U$11,$T$11))</f>
        <v>■レベル　3</v>
      </c>
      <c r="G446" s="3682" t="s">
        <v>2726</v>
      </c>
      <c r="H446" s="3688"/>
      <c r="I446" s="3688"/>
      <c r="J446" s="3683"/>
      <c r="K446" s="922" t="str">
        <f>IF(K443=$S$14,$T$11,IF(ROUNDDOWN(K443,0)=$S$11,$U$11,$T$11))</f>
        <v>■レベル　3</v>
      </c>
      <c r="L446" s="3682" t="s">
        <v>2727</v>
      </c>
      <c r="M446" s="3688"/>
      <c r="N446" s="3688"/>
      <c r="O446" s="3683"/>
    </row>
    <row r="447" spans="2:15" ht="45" customHeight="1">
      <c r="B447" s="1">
        <v>4</v>
      </c>
      <c r="C447" s="1" t="s">
        <v>1787</v>
      </c>
      <c r="D447" s="888"/>
      <c r="E447" s="893"/>
      <c r="F447" s="922" t="str">
        <f>IF(F443=$S$14,$T$12,IF(ROUNDDOWN(F443,0)=$S$12,$U$12,$T$12))</f>
        <v>　レベル　4</v>
      </c>
      <c r="G447" s="3682" t="s">
        <v>2728</v>
      </c>
      <c r="H447" s="3688"/>
      <c r="I447" s="3688"/>
      <c r="J447" s="3683"/>
      <c r="K447" s="922" t="str">
        <f>IF(K443=$S$14,$T$12,IF(ROUNDDOWN(K443,0)=$S$12,$U$12,$T$12))</f>
        <v>　レベル　4</v>
      </c>
      <c r="L447" s="3682" t="s">
        <v>1788</v>
      </c>
      <c r="M447" s="3688"/>
      <c r="N447" s="3688"/>
      <c r="O447" s="3683"/>
    </row>
    <row r="448" spans="2:15" ht="45" customHeight="1">
      <c r="B448" s="1">
        <v>5</v>
      </c>
      <c r="C448" s="1">
        <v>5</v>
      </c>
      <c r="D448" s="888"/>
      <c r="E448" s="893"/>
      <c r="F448" s="933" t="str">
        <f>IF(F443=$S$14,$T$13,IF(ROUNDDOWN(F443,0)=$S$13,$U$13,$T$13))</f>
        <v>　レベル　5</v>
      </c>
      <c r="G448" s="3680" t="s">
        <v>2729</v>
      </c>
      <c r="H448" s="3687"/>
      <c r="I448" s="3687"/>
      <c r="J448" s="3681"/>
      <c r="K448" s="933" t="str">
        <f>IF(K443=$S$14,$T$13,IF(ROUNDDOWN(K443,0)=$S$13,$U$13,$T$13))</f>
        <v>　レベル　5</v>
      </c>
      <c r="L448" s="3680" t="s">
        <v>2730</v>
      </c>
      <c r="M448" s="3687"/>
      <c r="N448" s="3687"/>
      <c r="O448" s="3681"/>
    </row>
    <row r="449" spans="2:3">
      <c r="B449" s="940">
        <v>0</v>
      </c>
      <c r="C449" s="940">
        <v>0</v>
      </c>
    </row>
    <row r="450" spans="2:3"/>
  </sheetData>
  <sheetProtection algorithmName="SHA-512" hashValue="3+hu8/5K3muDcj/SVOWuEms1Oo58XzLYxKkcuOrAwOKS8ov5gB/tCYIT6wbFFGE4JbIrEhlvL6NfdS932wLkVA==" saltValue="9YMbMOnB8lfZg0iQcX2KWQ==" spinCount="100000" sheet="1" objects="1" scenarios="1" selectLockedCells="1"/>
  <mergeCells count="433">
    <mergeCell ref="G315:J315"/>
    <mergeCell ref="L315:O315"/>
    <mergeCell ref="G447:J447"/>
    <mergeCell ref="L447:O447"/>
    <mergeCell ref="G448:J448"/>
    <mergeCell ref="L448:O448"/>
    <mergeCell ref="G445:J445"/>
    <mergeCell ref="L445:O445"/>
    <mergeCell ref="G446:J446"/>
    <mergeCell ref="L446:O446"/>
    <mergeCell ref="G438:J438"/>
    <mergeCell ref="L438:O438"/>
    <mergeCell ref="G444:J444"/>
    <mergeCell ref="L444:O444"/>
    <mergeCell ref="G436:J436"/>
    <mergeCell ref="L436:O436"/>
    <mergeCell ref="G437:J437"/>
    <mergeCell ref="L437:O437"/>
    <mergeCell ref="G434:J434"/>
    <mergeCell ref="L434:O434"/>
    <mergeCell ref="G435:J435"/>
    <mergeCell ref="L435:O435"/>
    <mergeCell ref="G429:H429"/>
    <mergeCell ref="I429:J429"/>
    <mergeCell ref="L429:M429"/>
    <mergeCell ref="N429:O429"/>
    <mergeCell ref="G428:H428"/>
    <mergeCell ref="I428:J428"/>
    <mergeCell ref="L428:M428"/>
    <mergeCell ref="N428:O428"/>
    <mergeCell ref="G427:H427"/>
    <mergeCell ref="I427:J427"/>
    <mergeCell ref="L427:M427"/>
    <mergeCell ref="N427:O427"/>
    <mergeCell ref="G426:H426"/>
    <mergeCell ref="I426:J426"/>
    <mergeCell ref="L426:M426"/>
    <mergeCell ref="N426:O426"/>
    <mergeCell ref="G425:H425"/>
    <mergeCell ref="I425:J425"/>
    <mergeCell ref="L425:M425"/>
    <mergeCell ref="N425:O425"/>
    <mergeCell ref="L419:M419"/>
    <mergeCell ref="N419:O419"/>
    <mergeCell ref="L420:M420"/>
    <mergeCell ref="N420:O420"/>
    <mergeCell ref="G419:H419"/>
    <mergeCell ref="G420:H420"/>
    <mergeCell ref="I419:J419"/>
    <mergeCell ref="I420:J420"/>
    <mergeCell ref="L417:M417"/>
    <mergeCell ref="N417:O417"/>
    <mergeCell ref="L418:M418"/>
    <mergeCell ref="N418:O418"/>
    <mergeCell ref="G417:H417"/>
    <mergeCell ref="G418:H418"/>
    <mergeCell ref="I417:J417"/>
    <mergeCell ref="I418:J418"/>
    <mergeCell ref="G411:H411"/>
    <mergeCell ref="I411:J411"/>
    <mergeCell ref="L411:O411"/>
    <mergeCell ref="L416:M416"/>
    <mergeCell ref="N416:O416"/>
    <mergeCell ref="G416:H416"/>
    <mergeCell ref="I416:J416"/>
    <mergeCell ref="G409:H409"/>
    <mergeCell ref="I409:J409"/>
    <mergeCell ref="L409:O409"/>
    <mergeCell ref="G410:H410"/>
    <mergeCell ref="I410:J410"/>
    <mergeCell ref="L410:O410"/>
    <mergeCell ref="G407:H407"/>
    <mergeCell ref="I407:J407"/>
    <mergeCell ref="L407:O407"/>
    <mergeCell ref="G408:H408"/>
    <mergeCell ref="I408:J408"/>
    <mergeCell ref="L408:O408"/>
    <mergeCell ref="G401:J401"/>
    <mergeCell ref="L401:O401"/>
    <mergeCell ref="G398:J398"/>
    <mergeCell ref="L398:O398"/>
    <mergeCell ref="G399:J399"/>
    <mergeCell ref="L399:O399"/>
    <mergeCell ref="G400:J400"/>
    <mergeCell ref="L400:O400"/>
    <mergeCell ref="G392:H392"/>
    <mergeCell ref="I392:J392"/>
    <mergeCell ref="L392:O392"/>
    <mergeCell ref="G397:J397"/>
    <mergeCell ref="L397:O397"/>
    <mergeCell ref="I388:J388"/>
    <mergeCell ref="L388:O388"/>
    <mergeCell ref="G389:H389"/>
    <mergeCell ref="I389:J389"/>
    <mergeCell ref="L389:O389"/>
    <mergeCell ref="G391:H391"/>
    <mergeCell ref="I391:J391"/>
    <mergeCell ref="L391:O391"/>
    <mergeCell ref="G380:J380"/>
    <mergeCell ref="L380:O380"/>
    <mergeCell ref="G381:J381"/>
    <mergeCell ref="L381:O381"/>
    <mergeCell ref="G390:H390"/>
    <mergeCell ref="I390:J390"/>
    <mergeCell ref="L390:O390"/>
    <mergeCell ref="G383:J383"/>
    <mergeCell ref="L383:O383"/>
    <mergeCell ref="G388:H388"/>
    <mergeCell ref="G373:H373"/>
    <mergeCell ref="I373:J373"/>
    <mergeCell ref="G382:J382"/>
    <mergeCell ref="L382:O382"/>
    <mergeCell ref="G374:H374"/>
    <mergeCell ref="I374:J374"/>
    <mergeCell ref="L374:O374"/>
    <mergeCell ref="G379:J379"/>
    <mergeCell ref="L379:O379"/>
    <mergeCell ref="L373:O373"/>
    <mergeCell ref="G370:H370"/>
    <mergeCell ref="I370:J370"/>
    <mergeCell ref="L370:O370"/>
    <mergeCell ref="G371:H371"/>
    <mergeCell ref="I371:J371"/>
    <mergeCell ref="L371:O371"/>
    <mergeCell ref="G372:H372"/>
    <mergeCell ref="I372:J372"/>
    <mergeCell ref="L372:O372"/>
    <mergeCell ref="G363:H363"/>
    <mergeCell ref="I363:J363"/>
    <mergeCell ref="L363:M363"/>
    <mergeCell ref="N363:O363"/>
    <mergeCell ref="G360:H360"/>
    <mergeCell ref="L360:M360"/>
    <mergeCell ref="N360:O360"/>
    <mergeCell ref="G361:H361"/>
    <mergeCell ref="L361:M361"/>
    <mergeCell ref="N361:O361"/>
    <mergeCell ref="G359:H359"/>
    <mergeCell ref="L359:M359"/>
    <mergeCell ref="N359:O359"/>
    <mergeCell ref="G357:H357"/>
    <mergeCell ref="I357:J357"/>
    <mergeCell ref="L357:M357"/>
    <mergeCell ref="N357:O357"/>
    <mergeCell ref="G356:H356"/>
    <mergeCell ref="I356:J356"/>
    <mergeCell ref="L356:M356"/>
    <mergeCell ref="N356:O356"/>
    <mergeCell ref="J359:J362"/>
    <mergeCell ref="G362:H362"/>
    <mergeCell ref="L362:M362"/>
    <mergeCell ref="N362:O362"/>
    <mergeCell ref="G355:H355"/>
    <mergeCell ref="I355:J355"/>
    <mergeCell ref="L355:M355"/>
    <mergeCell ref="N355:O355"/>
    <mergeCell ref="G354:H354"/>
    <mergeCell ref="I354:J354"/>
    <mergeCell ref="L354:M354"/>
    <mergeCell ref="N354:O354"/>
    <mergeCell ref="G347:J347"/>
    <mergeCell ref="L347:O347"/>
    <mergeCell ref="G353:H353"/>
    <mergeCell ref="I353:J353"/>
    <mergeCell ref="L353:M353"/>
    <mergeCell ref="N353:O353"/>
    <mergeCell ref="G345:J345"/>
    <mergeCell ref="L345:O345"/>
    <mergeCell ref="G346:J346"/>
    <mergeCell ref="L346:O346"/>
    <mergeCell ref="G343:J343"/>
    <mergeCell ref="L343:O343"/>
    <mergeCell ref="G344:J344"/>
    <mergeCell ref="L344:O344"/>
    <mergeCell ref="G337:H337"/>
    <mergeCell ref="G338:H338"/>
    <mergeCell ref="F341:F342"/>
    <mergeCell ref="K341:K342"/>
    <mergeCell ref="G324:J324"/>
    <mergeCell ref="G334:H334"/>
    <mergeCell ref="G335:H335"/>
    <mergeCell ref="G336:H336"/>
    <mergeCell ref="G320:J320"/>
    <mergeCell ref="G321:J321"/>
    <mergeCell ref="G322:J322"/>
    <mergeCell ref="G323:J323"/>
    <mergeCell ref="L311:O311"/>
    <mergeCell ref="L312:O312"/>
    <mergeCell ref="G311:H311"/>
    <mergeCell ref="I311:J311"/>
    <mergeCell ref="G312:H312"/>
    <mergeCell ref="I312:J312"/>
    <mergeCell ref="L309:O309"/>
    <mergeCell ref="L310:O310"/>
    <mergeCell ref="G309:H309"/>
    <mergeCell ref="I309:J309"/>
    <mergeCell ref="G310:H310"/>
    <mergeCell ref="I310:J310"/>
    <mergeCell ref="G303:J303"/>
    <mergeCell ref="L303:O303"/>
    <mergeCell ref="L308:O308"/>
    <mergeCell ref="G308:H308"/>
    <mergeCell ref="I308:J308"/>
    <mergeCell ref="G301:J301"/>
    <mergeCell ref="L301:O301"/>
    <mergeCell ref="G302:J302"/>
    <mergeCell ref="L302:O302"/>
    <mergeCell ref="G299:J299"/>
    <mergeCell ref="L299:O299"/>
    <mergeCell ref="G300:J300"/>
    <mergeCell ref="L300:O300"/>
    <mergeCell ref="G289:H289"/>
    <mergeCell ref="I289:J289"/>
    <mergeCell ref="L289:O289"/>
    <mergeCell ref="G290:H290"/>
    <mergeCell ref="I290:J290"/>
    <mergeCell ref="L290:O290"/>
    <mergeCell ref="G293:J293"/>
    <mergeCell ref="L293:O293"/>
    <mergeCell ref="G287:H287"/>
    <mergeCell ref="I287:J287"/>
    <mergeCell ref="L287:O287"/>
    <mergeCell ref="G288:H288"/>
    <mergeCell ref="I288:J288"/>
    <mergeCell ref="L288:O288"/>
    <mergeCell ref="G281:J281"/>
    <mergeCell ref="G286:H286"/>
    <mergeCell ref="I286:J286"/>
    <mergeCell ref="L286:O286"/>
    <mergeCell ref="G277:J277"/>
    <mergeCell ref="G278:J278"/>
    <mergeCell ref="G279:J279"/>
    <mergeCell ref="G280:J280"/>
    <mergeCell ref="G271:J271"/>
    <mergeCell ref="L271:M271"/>
    <mergeCell ref="N271:O271"/>
    <mergeCell ref="G272:J272"/>
    <mergeCell ref="L272:M272"/>
    <mergeCell ref="N272:O272"/>
    <mergeCell ref="G269:J269"/>
    <mergeCell ref="L269:M269"/>
    <mergeCell ref="N269:O269"/>
    <mergeCell ref="G270:J270"/>
    <mergeCell ref="L270:M270"/>
    <mergeCell ref="N270:O270"/>
    <mergeCell ref="G261:J261"/>
    <mergeCell ref="L261:O261"/>
    <mergeCell ref="G268:J268"/>
    <mergeCell ref="L268:M268"/>
    <mergeCell ref="N268:O268"/>
    <mergeCell ref="G259:J259"/>
    <mergeCell ref="L259:O259"/>
    <mergeCell ref="G260:J260"/>
    <mergeCell ref="L260:O260"/>
    <mergeCell ref="G257:J257"/>
    <mergeCell ref="L257:O257"/>
    <mergeCell ref="G258:J258"/>
    <mergeCell ref="L258:O258"/>
    <mergeCell ref="N250:O250"/>
    <mergeCell ref="G251:H251"/>
    <mergeCell ref="I251:J251"/>
    <mergeCell ref="L251:M251"/>
    <mergeCell ref="N251:O251"/>
    <mergeCell ref="G249:H249"/>
    <mergeCell ref="I249:J249"/>
    <mergeCell ref="L249:M249"/>
    <mergeCell ref="N249:O249"/>
    <mergeCell ref="G247:H247"/>
    <mergeCell ref="I247:J247"/>
    <mergeCell ref="L247:M247"/>
    <mergeCell ref="N247:O247"/>
    <mergeCell ref="I244:J244"/>
    <mergeCell ref="N244:O244"/>
    <mergeCell ref="G245:H245"/>
    <mergeCell ref="I245:J245"/>
    <mergeCell ref="L245:M245"/>
    <mergeCell ref="N245:O245"/>
    <mergeCell ref="G232:H232"/>
    <mergeCell ref="L232:M232"/>
    <mergeCell ref="N232:O232"/>
    <mergeCell ref="N233:O233"/>
    <mergeCell ref="I242:J242"/>
    <mergeCell ref="G243:H243"/>
    <mergeCell ref="I243:J243"/>
    <mergeCell ref="L243:M243"/>
    <mergeCell ref="N243:O243"/>
    <mergeCell ref="N234:O234"/>
    <mergeCell ref="G241:H241"/>
    <mergeCell ref="I241:J241"/>
    <mergeCell ref="L241:M241"/>
    <mergeCell ref="N241:O241"/>
    <mergeCell ref="G234:H234"/>
    <mergeCell ref="L234:M234"/>
    <mergeCell ref="G230:H230"/>
    <mergeCell ref="L230:M230"/>
    <mergeCell ref="N230:O230"/>
    <mergeCell ref="N231:O231"/>
    <mergeCell ref="G227:H227"/>
    <mergeCell ref="L227:M227"/>
    <mergeCell ref="N227:O227"/>
    <mergeCell ref="G228:H228"/>
    <mergeCell ref="L228:M228"/>
    <mergeCell ref="N228:O228"/>
    <mergeCell ref="G225:H225"/>
    <mergeCell ref="L225:M225"/>
    <mergeCell ref="N225:O225"/>
    <mergeCell ref="G226:H226"/>
    <mergeCell ref="L226:M226"/>
    <mergeCell ref="N226:O226"/>
    <mergeCell ref="G218:J218"/>
    <mergeCell ref="L218:O218"/>
    <mergeCell ref="G224:H224"/>
    <mergeCell ref="L224:M224"/>
    <mergeCell ref="N224:O224"/>
    <mergeCell ref="G216:J216"/>
    <mergeCell ref="L216:O216"/>
    <mergeCell ref="G217:J217"/>
    <mergeCell ref="L217:O217"/>
    <mergeCell ref="G214:J214"/>
    <mergeCell ref="L214:O214"/>
    <mergeCell ref="G215:J215"/>
    <mergeCell ref="L215:O215"/>
    <mergeCell ref="G207:H207"/>
    <mergeCell ref="I207:J207"/>
    <mergeCell ref="G209:H209"/>
    <mergeCell ref="I209:J209"/>
    <mergeCell ref="G204:H204"/>
    <mergeCell ref="I204:J204"/>
    <mergeCell ref="G205:H205"/>
    <mergeCell ref="I205:J205"/>
    <mergeCell ref="G198:J198"/>
    <mergeCell ref="L198:O198"/>
    <mergeCell ref="L199:O199"/>
    <mergeCell ref="G200:J200"/>
    <mergeCell ref="L200:O200"/>
    <mergeCell ref="G196:J196"/>
    <mergeCell ref="L196:O196"/>
    <mergeCell ref="G197:J197"/>
    <mergeCell ref="L197:O197"/>
    <mergeCell ref="G190:I190"/>
    <mergeCell ref="J190:L190"/>
    <mergeCell ref="M190:N190"/>
    <mergeCell ref="G191:I191"/>
    <mergeCell ref="J191:L191"/>
    <mergeCell ref="M191:N191"/>
    <mergeCell ref="G187:I187"/>
    <mergeCell ref="J187:L187"/>
    <mergeCell ref="M187:N187"/>
    <mergeCell ref="G189:I189"/>
    <mergeCell ref="J189:L189"/>
    <mergeCell ref="M189:N189"/>
    <mergeCell ref="G179:J179"/>
    <mergeCell ref="G180:J180"/>
    <mergeCell ref="L180:M180"/>
    <mergeCell ref="J181:O181"/>
    <mergeCell ref="G174:J174"/>
    <mergeCell ref="L174:M174"/>
    <mergeCell ref="G176:J176"/>
    <mergeCell ref="L176:M176"/>
    <mergeCell ref="G177:J177"/>
    <mergeCell ref="G178:J178"/>
    <mergeCell ref="L178:M178"/>
    <mergeCell ref="M96:O96"/>
    <mergeCell ref="G170:J170"/>
    <mergeCell ref="G172:J172"/>
    <mergeCell ref="L170:M170"/>
    <mergeCell ref="N170:O170"/>
    <mergeCell ref="L171:M171"/>
    <mergeCell ref="N171:O171"/>
    <mergeCell ref="L172:M172"/>
    <mergeCell ref="N172:O172"/>
    <mergeCell ref="G149:J149"/>
    <mergeCell ref="N153:O153"/>
    <mergeCell ref="N154:O154"/>
    <mergeCell ref="N155:O155"/>
    <mergeCell ref="L173:M173"/>
    <mergeCell ref="N173:O173"/>
    <mergeCell ref="G155:J155"/>
    <mergeCell ref="M92:O92"/>
    <mergeCell ref="M93:O93"/>
    <mergeCell ref="M94:O94"/>
    <mergeCell ref="M95:O95"/>
    <mergeCell ref="N86:O86"/>
    <mergeCell ref="L88:M88"/>
    <mergeCell ref="N88:O88"/>
    <mergeCell ref="L90:M90"/>
    <mergeCell ref="N90:O90"/>
    <mergeCell ref="J60:K60"/>
    <mergeCell ref="J61:K61"/>
    <mergeCell ref="J62:K62"/>
    <mergeCell ref="L86:M86"/>
    <mergeCell ref="G56:G57"/>
    <mergeCell ref="H58:I58"/>
    <mergeCell ref="J58:K58"/>
    <mergeCell ref="J59:K59"/>
    <mergeCell ref="J49:K49"/>
    <mergeCell ref="L49:M49"/>
    <mergeCell ref="L51:M51"/>
    <mergeCell ref="N52:O52"/>
    <mergeCell ref="N49:O49"/>
    <mergeCell ref="J50:K50"/>
    <mergeCell ref="L50:M50"/>
    <mergeCell ref="N50:O50"/>
    <mergeCell ref="N35:O35"/>
    <mergeCell ref="G36:H36"/>
    <mergeCell ref="I36:J36"/>
    <mergeCell ref="N36:O36"/>
    <mergeCell ref="H45:I45"/>
    <mergeCell ref="J45:K45"/>
    <mergeCell ref="N1:O1"/>
    <mergeCell ref="F18:F19"/>
    <mergeCell ref="F27:F28"/>
    <mergeCell ref="N33:O33"/>
    <mergeCell ref="G34:H34"/>
    <mergeCell ref="I34:J34"/>
    <mergeCell ref="N180:O180"/>
    <mergeCell ref="N176:O176"/>
    <mergeCell ref="N177:O177"/>
    <mergeCell ref="N178:O178"/>
    <mergeCell ref="N179:O179"/>
    <mergeCell ref="N174:O174"/>
    <mergeCell ref="N34:O34"/>
    <mergeCell ref="I33:J33"/>
    <mergeCell ref="N37:O37"/>
    <mergeCell ref="G38:H38"/>
    <mergeCell ref="I38:J38"/>
    <mergeCell ref="N38:O38"/>
    <mergeCell ref="G37:H37"/>
    <mergeCell ref="I37:J37"/>
    <mergeCell ref="G35:H35"/>
    <mergeCell ref="I35:J35"/>
    <mergeCell ref="N51:O51"/>
    <mergeCell ref="L52:M52"/>
  </mergeCells>
  <phoneticPr fontId="21"/>
  <conditionalFormatting sqref="I43">
    <cfRule type="expression" dxfId="189" priority="5" stopIfTrue="1">
      <formula>AND(J32&gt;0,$M$44&gt;0)</formula>
    </cfRule>
  </conditionalFormatting>
  <conditionalFormatting sqref="I55">
    <cfRule type="expression" dxfId="188" priority="6" stopIfTrue="1">
      <formula>AND(O32&gt;0,K56&gt;0)</formula>
    </cfRule>
  </conditionalFormatting>
  <conditionalFormatting sqref="L8 M143 K68 K116 K100 K84 K132 K256 K195 K213 K168 K239 K267 K285 K298 K307 M333 K351 K369 K378 K387 K396 K406 K415 K424 K433 K443 K222">
    <cfRule type="expression" dxfId="187" priority="7" stopIfTrue="1">
      <formula>AND(OR(K8&lt;1,K8&gt;5),K8&lt;&gt;0)</formula>
    </cfRule>
    <cfRule type="expression" dxfId="186" priority="8" stopIfTrue="1">
      <formula>$O7&gt;0</formula>
    </cfRule>
  </conditionalFormatting>
  <conditionalFormatting sqref="K341 F341">
    <cfRule type="expression" dxfId="185" priority="9" stopIfTrue="1">
      <formula>AND(OR(F341&lt;1,F341&gt;5),F341&lt;&gt;R348)</formula>
    </cfRule>
    <cfRule type="expression" dxfId="184" priority="10" stopIfTrue="1">
      <formula>J340&gt;0</formula>
    </cfRule>
  </conditionalFormatting>
  <conditionalFormatting sqref="K342 F342">
    <cfRule type="expression" dxfId="183" priority="11" stopIfTrue="1">
      <formula>AND(OR(F342&lt;1,F342&gt;5),F342&lt;&gt;#REF!)</formula>
    </cfRule>
    <cfRule type="expression" dxfId="182" priority="12" stopIfTrue="1">
      <formula>J341&gt;0</formula>
    </cfRule>
  </conditionalFormatting>
  <conditionalFormatting sqref="F8 F143 F168 F132 F116 F100 F84 F68 F204 F213 F222 F267 F276 F285 F298 F307 F333 F351 F369 F387 F406 F415 F433 F443 F378 F319 F239 F424 F396 F256 F195 F159 F186">
    <cfRule type="expression" dxfId="181" priority="19" stopIfTrue="1">
      <formula>AND(OR(F8&lt;1,F8&gt;5),F8&lt;&gt;0)</formula>
    </cfRule>
    <cfRule type="expression" dxfId="180" priority="20" stopIfTrue="1">
      <formula>$J7&gt;0</formula>
    </cfRule>
  </conditionalFormatting>
  <conditionalFormatting sqref="G58:G59">
    <cfRule type="expression" dxfId="179" priority="21" stopIfTrue="1">
      <formula>$I$55=$T$4</formula>
    </cfRule>
    <cfRule type="expression" dxfId="178" priority="22" stopIfTrue="1">
      <formula>AND($O$32&gt;0,$K$56&gt;0)</formula>
    </cfRule>
  </conditionalFormatting>
  <conditionalFormatting sqref="G60:G62">
    <cfRule type="expression" dxfId="177" priority="23" stopIfTrue="1">
      <formula>$I$55=$T$4</formula>
    </cfRule>
    <cfRule type="expression" dxfId="176" priority="24" stopIfTrue="1">
      <formula>AND($O$32&gt;0,$K$56&gt;0)</formula>
    </cfRule>
  </conditionalFormatting>
  <conditionalFormatting sqref="F49:G52">
    <cfRule type="expression" dxfId="175" priority="25" stopIfTrue="1">
      <formula>$J$32&gt;0</formula>
    </cfRule>
  </conditionalFormatting>
  <conditionalFormatting sqref="F45:G48">
    <cfRule type="expression" dxfId="174" priority="26" stopIfTrue="1">
      <formula>AND($J$32&gt;0,$M$44&gt;2000)</formula>
    </cfRule>
    <cfRule type="expression" dxfId="173" priority="27" stopIfTrue="1">
      <formula>AND($J$32&gt;0,$M$44&lt;2000,$F$40=$S$3)</formula>
    </cfRule>
  </conditionalFormatting>
  <conditionalFormatting sqref="F40">
    <cfRule type="expression" dxfId="172" priority="28" stopIfTrue="1">
      <formula>$M$44&lt;2000</formula>
    </cfRule>
  </conditionalFormatting>
  <conditionalFormatting sqref="F293">
    <cfRule type="expression" dxfId="171" priority="4" stopIfTrue="1">
      <formula>J284&gt;0</formula>
    </cfRule>
  </conditionalFormatting>
  <conditionalFormatting sqref="K293">
    <cfRule type="expression" dxfId="170" priority="3" stopIfTrue="1">
      <formula>O284&gt;0</formula>
    </cfRule>
  </conditionalFormatting>
  <conditionalFormatting sqref="F315">
    <cfRule type="expression" dxfId="169" priority="2" stopIfTrue="1">
      <formula>J306&gt;0</formula>
    </cfRule>
  </conditionalFormatting>
  <conditionalFormatting sqref="K315">
    <cfRule type="expression" dxfId="168" priority="1" stopIfTrue="1">
      <formula>O306&gt;0</formula>
    </cfRule>
  </conditionalFormatting>
  <conditionalFormatting sqref="G43">
    <cfRule type="expression" dxfId="167" priority="80" stopIfTrue="1">
      <formula>AND(OR($G$43&lt;1,$G$43&gt;5),$G$43&lt;&gt;$R$39)</formula>
    </cfRule>
    <cfRule type="expression" dxfId="166" priority="81" stopIfTrue="1">
      <formula>AND(O32&gt;0,O$44&gt;0,I43=$T$4)</formula>
    </cfRule>
  </conditionalFormatting>
  <conditionalFormatting sqref="G55">
    <cfRule type="expression" dxfId="165" priority="82" stopIfTrue="1">
      <formula>AND(OR($G$55&lt;1,$G$55&gt;5),$G$55&lt;&gt;$W$39)</formula>
    </cfRule>
    <cfRule type="expression" dxfId="164" priority="83" stopIfTrue="1">
      <formula>AND(O32&gt;0,K56&gt;0,I55=$T$4)</formula>
    </cfRule>
  </conditionalFormatting>
  <conditionalFormatting sqref="F43">
    <cfRule type="expression" dxfId="163" priority="84" stopIfTrue="1">
      <formula>AND(OR($F$43&lt;1,$F$43&gt;5),$F$43&lt;&gt;$R$39)</formula>
    </cfRule>
    <cfRule type="expression" dxfId="162" priority="85" stopIfTrue="1">
      <formula>AND(J32&gt;0,$M$44&gt;0,I43=$T$4)</formula>
    </cfRule>
  </conditionalFormatting>
  <dataValidations count="14">
    <dataValidation type="list" allowBlank="1" showInputMessage="1" sqref="K341 F341" xr:uid="{00000000-0002-0000-0600-000000000000}">
      <formula1>R343:R348</formula1>
    </dataValidation>
    <dataValidation type="list" allowBlank="1" showInputMessage="1" sqref="L8 M143 K68 K116 K100 K84 K132 K195 K213 K168 K239 K267 K298 M333 K351 K369 K378 K387 K396 K406 K415 K424 K433 K443 K256 K222" xr:uid="{00000000-0002-0000-0600-000001000000}">
      <formula1>$C9:$C14</formula1>
    </dataValidation>
    <dataValidation type="list" allowBlank="1" showInputMessage="1" sqref="K342 F342" xr:uid="{00000000-0002-0000-0600-000002000000}">
      <formula1>R344:R348</formula1>
    </dataValidation>
    <dataValidation type="list" allowBlank="1" showInputMessage="1" sqref="F8 F143 F168 F132 F116 F100 F84 F68 F204 F213 F222 F267 F276 F298 F333 F351 F186 F387 F406 F415 F433 F443 F378 F319 F239 F424 F396 F256 F195 F159 F369" xr:uid="{00000000-0002-0000-0600-000003000000}">
      <formula1>$B9:$B14</formula1>
    </dataValidation>
    <dataValidation type="list" allowBlank="1" showInputMessage="1" showErrorMessage="1" sqref="I55 I43" xr:uid="{00000000-0002-0000-0600-000004000000}">
      <formula1>$T$3:$T$4</formula1>
    </dataValidation>
    <dataValidation type="list" allowBlank="1" showInputMessage="1" showErrorMessage="1" sqref="G58:G62 F45:G52 K293 JG293 TC293 ACY293 AMU293 AWQ293 BGM293 BQI293 CAE293 CKA293 CTW293 DDS293 DNO293 DXK293 EHG293 ERC293 FAY293 FKU293 FUQ293 GEM293 GOI293 GYE293 HIA293 HRW293 IBS293 ILO293 IVK293 JFG293 JPC293 JYY293 KIU293 KSQ293 LCM293 LMI293 LWE293 MGA293 MPW293 MZS293 NJO293 NTK293 ODG293 ONC293 OWY293 PGU293 PQQ293 QAM293 QKI293 QUE293 REA293 RNW293 RXS293 SHO293 SRK293 TBG293 TLC293 TUY293 UEU293 UOQ293 UYM293 VII293 VSE293 WCA293 WLW293 WVS293 F293 JB293 SX293 ACT293 AMP293 AWL293 BGH293 BQD293 BZZ293 CJV293 CTR293 DDN293 DNJ293 DXF293 EHB293 EQX293 FAT293 FKP293 FUL293 GEH293 GOD293 GXZ293 HHV293 HRR293 IBN293 ILJ293 IVF293 JFB293 JOX293 JYT293 KIP293 KSL293 LCH293 LMD293 LVZ293 MFV293 MPR293 MZN293 NJJ293 NTF293 ODB293 OMX293 OWT293 PGP293 PQL293 QAH293 QKD293 QTZ293 RDV293 RNR293 RXN293 SHJ293 SRF293 TBB293 TKX293 TUT293 UEP293 UOL293 UYH293 VID293 VRZ293 WBV293 WLR293 WVN293 K315 JG315 TC315 ACY315 AMU315 AWQ315 BGM315 BQI315 CAE315 CKA315 CTW315 DDS315 DNO315 DXK315 EHG315 ERC315 FAY315 FKU315 FUQ315 GEM315 GOI315 GYE315 HIA315 HRW315 IBS315 ILO315 IVK315 JFG315 JPC315 JYY315 KIU315 KSQ315 LCM315 LMI315 LWE315 MGA315 MPW315 MZS315 NJO315 NTK315 ODG315 ONC315 OWY315 PGU315 PQQ315 QAM315 QKI315 QUE315 REA315 RNW315 RXS315 SHO315 SRK315 TBG315 TLC315 TUY315 UEU315 UOQ315 UYM315 VII315 VSE315 WCA315 WLW315 WVS315 F315 JB315 SX315 ACT315 AMP315 AWL315 BGH315 BQD315 BZZ315 CJV315 CTR315 DDN315 DNJ315 DXF315 EHB315 EQX315 FAT315 FKP315 FUL315 GEH315 GOD315 GXZ315 HHV315 HRR315 IBN315 ILJ315 IVF315 JFB315 JOX315 JYT315 KIP315 KSL315 LCH315 LMD315 LVZ315 MFV315 MPR315 MZN315 NJJ315 NTF315 ODB315 OMX315 OWT315 PGP315 PQL315 QAH315 QKD315 QTZ315 RDV315 RNR315 RXN315 SHJ315 SRF315 TBB315 TKX315 TUT315 UEP315 UOL315 UYH315 VID315 VRZ315 WBV315 WLR315 WVN315" xr:uid="{00000000-0002-0000-0600-000005000000}">
      <formula1>"○,　"</formula1>
    </dataValidation>
    <dataValidation type="list" allowBlank="1" sqref="G55" xr:uid="{00000000-0002-0000-0600-000006000000}">
      <formula1>$B$56:$B$61</formula1>
    </dataValidation>
    <dataValidation type="list" allowBlank="1" showInputMessage="1" sqref="G43" xr:uid="{00000000-0002-0000-0600-000007000000}">
      <formula1>$C$44:$C$49</formula1>
    </dataValidation>
    <dataValidation type="list" allowBlank="1" showInputMessage="1" showErrorMessage="1" sqref="F40" xr:uid="{00000000-0002-0000-0600-000008000000}">
      <formula1>$S$3:$S$4</formula1>
    </dataValidation>
    <dataValidation type="list" allowBlank="1" showInputMessage="1" sqref="F43" xr:uid="{00000000-0002-0000-0600-000009000000}">
      <formula1>$B$44:$B$49</formula1>
    </dataValidation>
    <dataValidation type="list" allowBlank="1" showInputMessage="1" sqref="K285" xr:uid="{00000000-0002-0000-0600-00000A000000}">
      <formula1>$C$286:$C$291</formula1>
    </dataValidation>
    <dataValidation type="list" allowBlank="1" showInputMessage="1" sqref="F285" xr:uid="{00000000-0002-0000-0600-00000B000000}">
      <formula1>$B$286:$B$291</formula1>
    </dataValidation>
    <dataValidation type="list" allowBlank="1" showInputMessage="1" sqref="K307" xr:uid="{00000000-0002-0000-0600-00000C000000}">
      <formula1>$C$308:$C$313</formula1>
    </dataValidation>
    <dataValidation type="list" allowBlank="1" showInputMessage="1" sqref="F307" xr:uid="{00000000-0002-0000-0600-00000D000000}">
      <formula1>$B$308:$B$313</formula1>
    </dataValidation>
  </dataValidations>
  <printOptions horizontalCentered="1"/>
  <pageMargins left="0.59055118110236227" right="0.59055118110236227" top="0.78740157480314965" bottom="0.59055118110236227" header="0.51181102362204722" footer="0.51181102362204722"/>
  <pageSetup paperSize="9" scale="63" fitToHeight="10" orientation="portrait" verticalDpi="4294967293" r:id="rId1"/>
  <headerFooter alignWithMargins="0">
    <oddHeader>&amp;L&amp;F&amp;R&amp;A</oddHeader>
    <oddFooter>&amp;C&amp;P/&amp;N</oddFooter>
  </headerFooter>
  <rowBreaks count="5" manualBreakCount="5">
    <brk id="138" max="16383" man="1"/>
    <brk id="219" min="3" max="15" man="1"/>
    <brk id="293" min="3" max="15" man="1"/>
    <brk id="364" min="3" max="15" man="1"/>
    <brk id="421" min="3" max="15"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AA402"/>
  <sheetViews>
    <sheetView showGridLines="0" topLeftCell="A253" zoomScaleNormal="100" zoomScaleSheetLayoutView="100" workbookViewId="0">
      <selection activeCell="F268" sqref="F268"/>
    </sheetView>
  </sheetViews>
  <sheetFormatPr defaultColWidth="0" defaultRowHeight="13.5" zeroHeight="1"/>
  <cols>
    <col min="1" max="1" width="1.25" customWidth="1"/>
    <col min="2" max="2" width="21.375" hidden="1" customWidth="1"/>
    <col min="3" max="3" width="6" hidden="1" customWidth="1"/>
    <col min="4" max="4" width="5" style="2307" customWidth="1"/>
    <col min="5" max="5" width="1.5" style="140" customWidth="1"/>
    <col min="6" max="15" width="12.5" style="140" customWidth="1"/>
    <col min="16" max="16" width="2.875" customWidth="1"/>
    <col min="17" max="17" width="8.625" hidden="1" customWidth="1"/>
    <col min="18" max="18" width="5.875" hidden="1" customWidth="1"/>
    <col min="19" max="19" width="9.75" hidden="1" customWidth="1"/>
    <col min="20" max="20" width="14.375" hidden="1" customWidth="1"/>
    <col min="21" max="21" width="10.25" hidden="1" customWidth="1"/>
    <col min="22" max="22" width="27.25" hidden="1" customWidth="1"/>
    <col min="23" max="23" width="2.5" hidden="1" customWidth="1"/>
    <col min="24" max="24" width="6" hidden="1" customWidth="1"/>
    <col min="25" max="25" width="14.375" hidden="1" customWidth="1"/>
    <col min="26" max="26" width="11.125" hidden="1" customWidth="1"/>
    <col min="27" max="27" width="2.5" hidden="1" customWidth="1"/>
    <col min="28" max="16384" width="9" hidden="1"/>
  </cols>
  <sheetData>
    <row r="1" spans="2:22" ht="15.75">
      <c r="D1" s="885"/>
      <c r="E1" s="1119"/>
      <c r="F1" s="1119"/>
      <c r="G1" s="886"/>
      <c r="H1" s="886"/>
      <c r="I1" s="886"/>
      <c r="J1" s="886"/>
      <c r="K1" s="1119"/>
      <c r="L1" s="1119"/>
      <c r="M1" s="887" t="s">
        <v>2215</v>
      </c>
      <c r="N1" s="3671" t="str">
        <f>メイン!C11</f>
        <v>○○ビル</v>
      </c>
      <c r="O1" s="3671"/>
      <c r="R1" t="s">
        <v>1100</v>
      </c>
    </row>
    <row r="2" spans="2:22" ht="16.5" thickBot="1">
      <c r="D2" s="885"/>
      <c r="E2" s="1120"/>
      <c r="F2" s="1120"/>
      <c r="G2" s="1041"/>
      <c r="H2" s="1041"/>
      <c r="I2" s="1041"/>
      <c r="J2" s="1041"/>
      <c r="K2" s="1120"/>
      <c r="L2" s="1120"/>
      <c r="M2" s="1120"/>
      <c r="N2" s="1120"/>
      <c r="O2" s="1120"/>
    </row>
    <row r="3" spans="2:22" ht="18.75" thickBot="1">
      <c r="D3" s="1372" t="s">
        <v>1363</v>
      </c>
      <c r="E3" s="1121"/>
      <c r="F3" s="546"/>
      <c r="G3" s="889"/>
      <c r="H3" s="889"/>
      <c r="I3" s="891"/>
      <c r="J3" s="892" t="s">
        <v>2543</v>
      </c>
      <c r="K3" s="893"/>
      <c r="L3" s="893"/>
      <c r="M3" s="546"/>
      <c r="N3" s="546"/>
      <c r="O3" s="1122" t="str">
        <f>IF(メイン!E39=0,"",メイン!E39)</f>
        <v>実施設計段階</v>
      </c>
      <c r="R3" t="s">
        <v>1118</v>
      </c>
      <c r="S3" t="s">
        <v>1607</v>
      </c>
      <c r="T3" t="s">
        <v>3819</v>
      </c>
      <c r="U3" t="str">
        <f>メイン!I37</f>
        <v>基本設計段階</v>
      </c>
    </row>
    <row r="4" spans="2:22" ht="6" customHeight="1">
      <c r="D4" s="888"/>
      <c r="E4" s="1121"/>
      <c r="F4" s="546"/>
      <c r="G4" s="889"/>
      <c r="H4" s="889"/>
      <c r="I4" s="1081"/>
      <c r="J4" s="889"/>
      <c r="K4" s="893"/>
      <c r="L4" s="893"/>
      <c r="M4" s="546"/>
      <c r="N4" s="546"/>
      <c r="O4" s="546"/>
      <c r="T4" t="s">
        <v>3820</v>
      </c>
      <c r="U4" t="str">
        <f>メイン!I38</f>
        <v>実施設計段階</v>
      </c>
      <c r="V4" t="s">
        <v>1523</v>
      </c>
    </row>
    <row r="5" spans="2:22" ht="15.75">
      <c r="D5" s="1311">
        <v>1</v>
      </c>
      <c r="E5" s="1123" t="s">
        <v>758</v>
      </c>
      <c r="F5" s="1123"/>
      <c r="G5" s="895"/>
      <c r="H5" s="895"/>
      <c r="I5" s="895"/>
      <c r="J5" s="895"/>
      <c r="K5" s="1123"/>
      <c r="L5" s="1123"/>
      <c r="M5" s="1123"/>
      <c r="N5" s="1123"/>
      <c r="O5" s="1123"/>
      <c r="U5" t="str">
        <f>メイン!I39</f>
        <v>竣工段階</v>
      </c>
    </row>
    <row r="6" spans="2:22" ht="15.75">
      <c r="D6" s="1311">
        <v>1.1000000000000001</v>
      </c>
      <c r="E6" s="1123" t="s">
        <v>1952</v>
      </c>
      <c r="F6" s="1123"/>
      <c r="G6" s="1124"/>
      <c r="H6" s="895"/>
      <c r="I6" s="895"/>
      <c r="J6" s="895"/>
      <c r="K6" s="1123"/>
      <c r="L6" s="1125"/>
      <c r="M6" s="1123"/>
      <c r="N6" s="1123"/>
      <c r="O6" s="1123"/>
      <c r="S6" t="s">
        <v>1364</v>
      </c>
      <c r="U6">
        <f>メイン!Q42</f>
        <v>0</v>
      </c>
    </row>
    <row r="7" spans="2:22" ht="15.75">
      <c r="D7" s="888"/>
      <c r="E7" s="893"/>
      <c r="F7" s="899" t="s">
        <v>1524</v>
      </c>
      <c r="G7" s="900"/>
      <c r="H7" s="1126"/>
      <c r="I7" s="886"/>
      <c r="J7" s="979" t="str">
        <f>IF(OR(F9=0,AND(J8=0,O8=0)),$R$3,"")</f>
        <v/>
      </c>
      <c r="K7" s="899"/>
      <c r="L7" s="900"/>
      <c r="M7" s="1126"/>
      <c r="N7" s="886"/>
      <c r="O7" s="901"/>
      <c r="S7" t="s">
        <v>1365</v>
      </c>
    </row>
    <row r="8" spans="2:22" ht="16.5" thickBot="1">
      <c r="D8" s="888"/>
      <c r="E8" s="893"/>
      <c r="F8" s="903" t="s">
        <v>380</v>
      </c>
      <c r="G8" s="904"/>
      <c r="H8" s="905"/>
      <c r="I8" s="906" t="s">
        <v>1121</v>
      </c>
      <c r="J8" s="909">
        <f>重み!M65</f>
        <v>0.32808398950131235</v>
      </c>
      <c r="K8" s="903" t="s">
        <v>1611</v>
      </c>
      <c r="L8" s="904"/>
      <c r="M8" s="905"/>
      <c r="N8" s="906" t="s">
        <v>1121</v>
      </c>
      <c r="O8" s="909">
        <f>重み!N65</f>
        <v>0</v>
      </c>
    </row>
    <row r="9" spans="2:22" ht="16.5" thickBot="1">
      <c r="D9" s="888"/>
      <c r="E9" s="893"/>
      <c r="F9" s="910">
        <v>3</v>
      </c>
      <c r="G9" s="1026" t="s">
        <v>1525</v>
      </c>
      <c r="H9" s="916"/>
      <c r="I9" s="1116" t="s">
        <v>1462</v>
      </c>
      <c r="J9" s="1389"/>
      <c r="K9" s="910">
        <v>3</v>
      </c>
      <c r="L9" s="1026" t="s">
        <v>1526</v>
      </c>
      <c r="M9" s="916"/>
      <c r="N9" s="1026" t="s">
        <v>1366</v>
      </c>
      <c r="O9" s="916"/>
    </row>
    <row r="10" spans="2:22" ht="30.75" customHeight="1">
      <c r="B10" s="1127">
        <v>1</v>
      </c>
      <c r="C10" s="1">
        <v>1</v>
      </c>
      <c r="D10" s="888"/>
      <c r="E10" s="893"/>
      <c r="F10" s="917" t="str">
        <f>IF(F9=$S$15,$T$10,IF(ROUNDDOWN(F9,0)=$S$10,$U$10,$T$10))</f>
        <v>　レベル　1</v>
      </c>
      <c r="G10" s="3678" t="s">
        <v>1873</v>
      </c>
      <c r="H10" s="3684"/>
      <c r="I10" s="3795" t="s">
        <v>1874</v>
      </c>
      <c r="J10" s="3796"/>
      <c r="K10" s="917" t="str">
        <f>IF(K9=$S$15,$T$10,IF(ROUNDDOWN(K9,0)=$S$10,$U$10,$T$10))</f>
        <v>　レベル　1</v>
      </c>
      <c r="L10" s="3678" t="s">
        <v>1343</v>
      </c>
      <c r="M10" s="3696"/>
      <c r="N10" s="3678" t="s">
        <v>1343</v>
      </c>
      <c r="O10" s="3696"/>
      <c r="S10">
        <v>1</v>
      </c>
      <c r="T10" t="s">
        <v>1367</v>
      </c>
      <c r="U10" t="s">
        <v>2177</v>
      </c>
    </row>
    <row r="11" spans="2:22" ht="30.75" customHeight="1">
      <c r="B11" s="1127" t="s">
        <v>2355</v>
      </c>
      <c r="C11" s="1" t="s">
        <v>2355</v>
      </c>
      <c r="D11" s="888"/>
      <c r="E11" s="893"/>
      <c r="F11" s="922" t="str">
        <f>IF(F9=$S$15,$T$11,IF(ROUNDDOWN(F9,0)=$S$11,$U$11,$T$11))</f>
        <v>　レベル　2</v>
      </c>
      <c r="G11" s="3682" t="s">
        <v>1788</v>
      </c>
      <c r="H11" s="3726"/>
      <c r="I11" s="3745" t="s">
        <v>1875</v>
      </c>
      <c r="J11" s="3797"/>
      <c r="K11" s="922" t="str">
        <f>IF(K9=$S$15,$T$11,IF(ROUNDDOWN(K9,0)=$S$11,$U$11,$T$11))</f>
        <v>　レベル　2</v>
      </c>
      <c r="L11" s="3682" t="s">
        <v>1788</v>
      </c>
      <c r="M11" s="3683"/>
      <c r="N11" s="3682" t="s">
        <v>1788</v>
      </c>
      <c r="O11" s="3683"/>
      <c r="S11">
        <v>2</v>
      </c>
      <c r="T11" t="s">
        <v>1101</v>
      </c>
      <c r="U11" t="s">
        <v>1102</v>
      </c>
    </row>
    <row r="12" spans="2:22" ht="30.75" customHeight="1">
      <c r="B12" s="1128">
        <v>3</v>
      </c>
      <c r="C12" s="1">
        <v>3</v>
      </c>
      <c r="D12" s="888"/>
      <c r="E12" s="893"/>
      <c r="F12" s="922" t="str">
        <f>IF(F9=$S$15,$T$12,IF(ROUNDDOWN(F9,0)=$S$12,$U$12,$T$12))</f>
        <v>■レベル　3</v>
      </c>
      <c r="G12" s="3682" t="s">
        <v>1876</v>
      </c>
      <c r="H12" s="3726"/>
      <c r="I12" s="3745" t="s">
        <v>1877</v>
      </c>
      <c r="J12" s="3797"/>
      <c r="K12" s="922" t="str">
        <f>IF(K9=$S$15,$T$12,IF(ROUNDDOWN(K9,0)=$S$12,$U$12,$T$12))</f>
        <v>■レベル　3</v>
      </c>
      <c r="L12" s="3682" t="s">
        <v>2748</v>
      </c>
      <c r="M12" s="3683"/>
      <c r="N12" s="3682" t="s">
        <v>2749</v>
      </c>
      <c r="O12" s="3683"/>
      <c r="S12">
        <v>3</v>
      </c>
      <c r="T12" t="s">
        <v>1107</v>
      </c>
      <c r="U12" t="s">
        <v>1108</v>
      </c>
    </row>
    <row r="13" spans="2:22" ht="30.75" customHeight="1">
      <c r="B13" s="1127">
        <v>4</v>
      </c>
      <c r="C13" s="1">
        <v>4</v>
      </c>
      <c r="D13" s="888"/>
      <c r="E13" s="893"/>
      <c r="F13" s="922" t="str">
        <f>IF(F9=$S$15,$T$13,IF(ROUNDDOWN(F9,0)=$S$13,$U$13,$T$13))</f>
        <v>　レベル　4</v>
      </c>
      <c r="G13" s="3682" t="s">
        <v>1517</v>
      </c>
      <c r="H13" s="3726"/>
      <c r="I13" s="3745" t="s">
        <v>1878</v>
      </c>
      <c r="J13" s="3797"/>
      <c r="K13" s="922" t="str">
        <f>IF(K9=$S$15,$T$13,IF(ROUNDDOWN(K9,0)=$S$13,$U$13,$T$13))</f>
        <v>　レベル　4</v>
      </c>
      <c r="L13" s="3682" t="s">
        <v>1788</v>
      </c>
      <c r="M13" s="3683"/>
      <c r="N13" s="3682" t="s">
        <v>2750</v>
      </c>
      <c r="O13" s="3683"/>
      <c r="S13">
        <v>4</v>
      </c>
      <c r="T13" t="s">
        <v>994</v>
      </c>
      <c r="U13" t="s">
        <v>995</v>
      </c>
    </row>
    <row r="14" spans="2:22" ht="30.75" customHeight="1">
      <c r="B14" s="1127">
        <v>5</v>
      </c>
      <c r="C14" s="1">
        <v>5</v>
      </c>
      <c r="D14" s="888"/>
      <c r="E14" s="893"/>
      <c r="F14" s="933" t="str">
        <f>IF(F9=$S$15,$T$14,IF(ROUNDDOWN(F9,0)=$S$14,$U$14,$T$14))</f>
        <v>　レベル　5</v>
      </c>
      <c r="G14" s="3680" t="s">
        <v>1879</v>
      </c>
      <c r="H14" s="3710"/>
      <c r="I14" s="3748" t="s">
        <v>1878</v>
      </c>
      <c r="J14" s="3846"/>
      <c r="K14" s="933" t="str">
        <f>IF(K9=$S$15,$T$14,IF(ROUNDDOWN(K9,0)=$S$14,$U$14,$T$14))</f>
        <v>　レベル　5</v>
      </c>
      <c r="L14" s="3680" t="s">
        <v>2751</v>
      </c>
      <c r="M14" s="3681"/>
      <c r="N14" s="3680" t="s">
        <v>2752</v>
      </c>
      <c r="O14" s="3681"/>
      <c r="S14">
        <v>5</v>
      </c>
      <c r="T14" t="s">
        <v>1001</v>
      </c>
      <c r="U14" t="s">
        <v>1002</v>
      </c>
    </row>
    <row r="15" spans="2:22" ht="15.75">
      <c r="B15" s="940">
        <v>0</v>
      </c>
      <c r="C15" s="940">
        <v>0</v>
      </c>
      <c r="D15" s="888"/>
      <c r="E15" s="893"/>
      <c r="F15" s="1096"/>
      <c r="G15" s="975"/>
      <c r="H15" s="975"/>
      <c r="I15" s="975"/>
      <c r="J15" s="975"/>
      <c r="K15" s="1096"/>
      <c r="L15" s="1096"/>
      <c r="M15" s="1096"/>
      <c r="N15" s="1096"/>
      <c r="O15" s="1096"/>
      <c r="S15">
        <v>0</v>
      </c>
      <c r="T15" t="s">
        <v>2178</v>
      </c>
      <c r="U15" t="s">
        <v>2178</v>
      </c>
    </row>
    <row r="16" spans="2:22" ht="15.75">
      <c r="D16" s="888"/>
      <c r="E16" s="546"/>
      <c r="F16" s="1064" t="s">
        <v>1518</v>
      </c>
      <c r="G16" s="976"/>
      <c r="H16" s="1025"/>
      <c r="I16" s="1005"/>
      <c r="J16" s="979" t="str">
        <f>IF(OR(F18=0,AND(J17=0,O17=0)),$R$3,"")</f>
        <v/>
      </c>
      <c r="K16" s="1064"/>
      <c r="L16" s="976"/>
      <c r="M16" s="1025"/>
      <c r="N16" s="1005"/>
      <c r="O16" s="979"/>
    </row>
    <row r="17" spans="2:15" ht="16.5" thickBot="1">
      <c r="D17" s="888"/>
      <c r="E17" s="546"/>
      <c r="F17" s="903" t="s">
        <v>2179</v>
      </c>
      <c r="G17" s="904"/>
      <c r="H17" s="905"/>
      <c r="I17" s="906" t="s">
        <v>1121</v>
      </c>
      <c r="J17" s="909">
        <f>重み!M66</f>
        <v>0.32808398950131235</v>
      </c>
      <c r="K17" s="903" t="s">
        <v>1611</v>
      </c>
      <c r="L17" s="904"/>
      <c r="M17" s="905"/>
      <c r="N17" s="906" t="s">
        <v>1121</v>
      </c>
      <c r="O17" s="909">
        <f>重み!N66</f>
        <v>1.5748031496062992E-2</v>
      </c>
    </row>
    <row r="18" spans="2:15" ht="16.5" thickBot="1">
      <c r="D18" s="888"/>
      <c r="E18" s="546"/>
      <c r="F18" s="910">
        <v>3</v>
      </c>
      <c r="G18" s="1026" t="s">
        <v>1525</v>
      </c>
      <c r="H18" s="915"/>
      <c r="I18" s="915"/>
      <c r="J18" s="916"/>
      <c r="K18" s="910">
        <v>3</v>
      </c>
      <c r="L18" s="1026" t="s">
        <v>2180</v>
      </c>
      <c r="M18" s="916"/>
      <c r="N18" s="1026"/>
      <c r="O18" s="1031"/>
    </row>
    <row r="19" spans="2:15" ht="15.75">
      <c r="B19" s="1">
        <v>1</v>
      </c>
      <c r="C19" s="1">
        <v>1</v>
      </c>
      <c r="D19" s="888"/>
      <c r="E19" s="546"/>
      <c r="F19" s="917" t="str">
        <f>IF(F18=$S$15,$T$10,IF(ROUNDDOWN(F18,0)=$S$10,$U$10,$T$10))</f>
        <v>　レベル　1</v>
      </c>
      <c r="G19" s="3678" t="s">
        <v>1659</v>
      </c>
      <c r="H19" s="3679"/>
      <c r="I19" s="3679"/>
      <c r="J19" s="3696"/>
      <c r="K19" s="1129" t="str">
        <f>IF(K18=$S$15,$T$10,IF(ROUNDDOWN(K18,0)=$S$10,$U$10,$T$10))</f>
        <v>　レベル　1</v>
      </c>
      <c r="L19" s="3678" t="s">
        <v>1659</v>
      </c>
      <c r="M19" s="3679"/>
      <c r="N19" s="3679"/>
      <c r="O19" s="3696"/>
    </row>
    <row r="20" spans="2:15" ht="41.25" customHeight="1">
      <c r="B20" s="1">
        <v>2</v>
      </c>
      <c r="C20" s="1">
        <v>2</v>
      </c>
      <c r="D20" s="888"/>
      <c r="E20" s="546"/>
      <c r="F20" s="922" t="str">
        <f>IF(F18=$S$15,$T$11,IF(ROUNDDOWN(F18,0)=$S$11,$U$11,$T$11))</f>
        <v>　レベル　2</v>
      </c>
      <c r="G20" s="3682" t="s">
        <v>2753</v>
      </c>
      <c r="H20" s="3688"/>
      <c r="I20" s="3688"/>
      <c r="J20" s="3683"/>
      <c r="K20" s="1129" t="str">
        <f>IF(K18=$S$15,$T$11,IF(ROUNDDOWN(K18,0)=$S$11,$U$11,$T$11))</f>
        <v>　レベル　2</v>
      </c>
      <c r="L20" s="3700" t="s">
        <v>2754</v>
      </c>
      <c r="M20" s="3688"/>
      <c r="N20" s="3688"/>
      <c r="O20" s="3683"/>
    </row>
    <row r="21" spans="2:15" ht="60" customHeight="1">
      <c r="B21" s="1">
        <v>3</v>
      </c>
      <c r="C21" s="1">
        <v>3</v>
      </c>
      <c r="D21" s="888"/>
      <c r="E21" s="546"/>
      <c r="F21" s="922" t="str">
        <f>IF(F18=$S$15,$T$12,IF(ROUNDDOWN(F18,0)=$S$12,$U$12,$T$12))</f>
        <v>■レベル　3</v>
      </c>
      <c r="G21" s="3682" t="s">
        <v>2755</v>
      </c>
      <c r="H21" s="3688"/>
      <c r="I21" s="3688"/>
      <c r="J21" s="3683"/>
      <c r="K21" s="1129" t="str">
        <f>IF(K18=$S$15,$T$12,IF(ROUNDDOWN(K18,0)=$S$12,$U$12,$T$12))</f>
        <v>■レベル　3</v>
      </c>
      <c r="L21" s="3700" t="s">
        <v>2756</v>
      </c>
      <c r="M21" s="3688"/>
      <c r="N21" s="3688"/>
      <c r="O21" s="3683"/>
    </row>
    <row r="22" spans="2:15" ht="69.75" customHeight="1">
      <c r="B22" s="1">
        <v>4</v>
      </c>
      <c r="C22" s="1">
        <v>4</v>
      </c>
      <c r="D22" s="888"/>
      <c r="E22" s="546"/>
      <c r="F22" s="922" t="str">
        <f>IF(F18=$S$15,$T$13,IF(ROUNDDOWN(F18,0)=$S$13,$U$13,$T$13))</f>
        <v>　レベル　4</v>
      </c>
      <c r="G22" s="3682" t="s">
        <v>2757</v>
      </c>
      <c r="H22" s="3688"/>
      <c r="I22" s="3688"/>
      <c r="J22" s="3683"/>
      <c r="K22" s="1129" t="str">
        <f>IF(K18=$S$15,$T$13,IF(ROUNDDOWN(K18,0)=$S$13,$U$13,$T$13))</f>
        <v>　レベル　4</v>
      </c>
      <c r="L22" s="3700" t="s">
        <v>1287</v>
      </c>
      <c r="M22" s="3688"/>
      <c r="N22" s="3688"/>
      <c r="O22" s="3683"/>
    </row>
    <row r="23" spans="2:15" ht="69.75" customHeight="1">
      <c r="B23" s="1">
        <v>5</v>
      </c>
      <c r="C23" s="1">
        <v>5</v>
      </c>
      <c r="D23" s="888"/>
      <c r="E23" s="546"/>
      <c r="F23" s="933" t="str">
        <f>IF(F18=$S$15,$T$14,IF(ROUNDDOWN(F18,0)=$S$14,$U$14,$T$14))</f>
        <v>　レベル　5</v>
      </c>
      <c r="G23" s="3680" t="s">
        <v>2758</v>
      </c>
      <c r="H23" s="3687"/>
      <c r="I23" s="3687"/>
      <c r="J23" s="3681"/>
      <c r="K23" s="1130" t="str">
        <f>IF(K18=$S$15,$T$14,IF(ROUNDDOWN(K18,0)=$S$14,$U$14,$T$14))</f>
        <v>　レベル　5</v>
      </c>
      <c r="L23" s="3701" t="s">
        <v>1883</v>
      </c>
      <c r="M23" s="3687"/>
      <c r="N23" s="3687"/>
      <c r="O23" s="3681"/>
    </row>
    <row r="24" spans="2:15" ht="15.75">
      <c r="B24" s="940">
        <v>0</v>
      </c>
      <c r="C24" s="940">
        <v>0</v>
      </c>
      <c r="D24" s="888"/>
      <c r="E24" s="546"/>
      <c r="F24" s="1096"/>
      <c r="G24" s="975"/>
      <c r="H24" s="975"/>
      <c r="I24" s="975"/>
      <c r="J24" s="975"/>
      <c r="K24" s="1096"/>
      <c r="L24" s="1096"/>
      <c r="M24" s="1096"/>
      <c r="N24" s="1096"/>
      <c r="O24" s="1096"/>
    </row>
    <row r="25" spans="2:15" ht="15.75">
      <c r="D25" s="888"/>
      <c r="E25" s="546"/>
      <c r="F25" s="1064" t="s">
        <v>1288</v>
      </c>
      <c r="G25" s="976"/>
      <c r="H25" s="1025"/>
      <c r="I25" s="1005"/>
      <c r="J25" s="979" t="str">
        <f>IF(OR(F27=0,J26=0),$R$3,"")</f>
        <v/>
      </c>
      <c r="K25" s="1096"/>
      <c r="L25" s="1096"/>
      <c r="M25" s="1096"/>
      <c r="N25" s="1096"/>
      <c r="O25" s="1096"/>
    </row>
    <row r="26" spans="2:15" ht="16.5" thickBot="1">
      <c r="D26" s="888"/>
      <c r="E26" s="546"/>
      <c r="F26" s="1045" t="s">
        <v>257</v>
      </c>
      <c r="G26" s="904"/>
      <c r="H26" s="905"/>
      <c r="I26" s="906" t="s">
        <v>1121</v>
      </c>
      <c r="J26" s="907">
        <f>重み!M67</f>
        <v>0.34383202099737531</v>
      </c>
      <c r="K26" s="904"/>
      <c r="L26" s="905"/>
      <c r="M26" s="904"/>
      <c r="N26" s="1010"/>
      <c r="O26" s="1096"/>
    </row>
    <row r="27" spans="2:15" ht="16.5" thickBot="1">
      <c r="D27" s="888"/>
      <c r="E27" s="546"/>
      <c r="F27" s="910">
        <v>3</v>
      </c>
      <c r="G27" s="1026" t="s">
        <v>4123</v>
      </c>
      <c r="H27" s="916"/>
      <c r="I27" s="1026"/>
      <c r="J27" s="1031"/>
      <c r="K27" s="1131"/>
      <c r="L27" s="1051"/>
      <c r="M27" s="1131"/>
      <c r="N27" s="1031"/>
      <c r="O27" s="1096"/>
    </row>
    <row r="28" spans="2:15" ht="15.75" customHeight="1">
      <c r="B28" s="1">
        <v>1</v>
      </c>
      <c r="C28" s="1">
        <v>1</v>
      </c>
      <c r="D28" s="888"/>
      <c r="E28" s="546"/>
      <c r="F28" s="917" t="str">
        <f>IF(F27=$S$15,$T$10,IF(ROUNDDOWN(F27,0)=$S$10,$U$10,$T$10))</f>
        <v>　レベル　1</v>
      </c>
      <c r="G28" s="3853" t="s">
        <v>4124</v>
      </c>
      <c r="H28" s="3854"/>
      <c r="I28" s="3854"/>
      <c r="J28" s="3854"/>
      <c r="K28" s="3854"/>
      <c r="L28" s="3854"/>
      <c r="M28" s="3854"/>
      <c r="N28" s="3855"/>
      <c r="O28" s="1096"/>
    </row>
    <row r="29" spans="2:15" ht="15.75" customHeight="1">
      <c r="B29" s="1" t="s">
        <v>1884</v>
      </c>
      <c r="C29" s="1" t="s">
        <v>1884</v>
      </c>
      <c r="D29" s="888"/>
      <c r="E29" s="546"/>
      <c r="F29" s="922" t="str">
        <f>IF(F27=$S$15,$T$11,IF(ROUNDDOWN(F27,0)=$S$11,$U$11,$T$11))</f>
        <v>　レベル　2</v>
      </c>
      <c r="G29" s="3716" t="s">
        <v>1788</v>
      </c>
      <c r="H29" s="3856"/>
      <c r="I29" s="3856"/>
      <c r="J29" s="3856"/>
      <c r="K29" s="3856"/>
      <c r="L29" s="3856"/>
      <c r="M29" s="3856"/>
      <c r="N29" s="3857"/>
      <c r="O29" s="1096"/>
    </row>
    <row r="30" spans="2:15" ht="39" customHeight="1">
      <c r="B30" s="1">
        <v>3</v>
      </c>
      <c r="C30" s="1">
        <v>3</v>
      </c>
      <c r="D30" s="888"/>
      <c r="E30" s="546"/>
      <c r="F30" s="922" t="str">
        <f>IF(F27=$S$15,$T$12,IF(ROUNDDOWN(F27,0)=$S$12,$U$12,$T$12))</f>
        <v>■レベル　3</v>
      </c>
      <c r="G30" s="3716" t="s">
        <v>4125</v>
      </c>
      <c r="H30" s="3856"/>
      <c r="I30" s="3856"/>
      <c r="J30" s="3856"/>
      <c r="K30" s="3856"/>
      <c r="L30" s="3856"/>
      <c r="M30" s="3856"/>
      <c r="N30" s="3857"/>
      <c r="O30" s="1096"/>
    </row>
    <row r="31" spans="2:15" ht="39" customHeight="1">
      <c r="B31" s="1">
        <v>4</v>
      </c>
      <c r="C31" s="1">
        <v>4</v>
      </c>
      <c r="D31" s="888"/>
      <c r="E31" s="546"/>
      <c r="F31" s="922" t="str">
        <f>IF(F27=$S$15,$T$13,IF(ROUNDDOWN(F27,0)=$S$13,$U$13,$T$13))</f>
        <v>　レベル　4</v>
      </c>
      <c r="G31" s="3716" t="s">
        <v>4126</v>
      </c>
      <c r="H31" s="3856"/>
      <c r="I31" s="3856"/>
      <c r="J31" s="3856"/>
      <c r="K31" s="3856"/>
      <c r="L31" s="3856"/>
      <c r="M31" s="3856"/>
      <c r="N31" s="3857"/>
      <c r="O31" s="1096"/>
    </row>
    <row r="32" spans="2:15" ht="39" customHeight="1">
      <c r="B32" s="1">
        <v>5</v>
      </c>
      <c r="C32" s="1">
        <v>5</v>
      </c>
      <c r="D32" s="888"/>
      <c r="E32" s="546"/>
      <c r="F32" s="933" t="str">
        <f>IF(F27=$S$15,$T$14,IF(ROUNDDOWN(F27,0)=$S$14,$U$14,$T$14))</f>
        <v>　レベル　5</v>
      </c>
      <c r="G32" s="3707" t="s">
        <v>4127</v>
      </c>
      <c r="H32" s="3858"/>
      <c r="I32" s="3858"/>
      <c r="J32" s="3858"/>
      <c r="K32" s="3858"/>
      <c r="L32" s="3858"/>
      <c r="M32" s="3858"/>
      <c r="N32" s="3859"/>
      <c r="O32" s="1096"/>
    </row>
    <row r="33" spans="2:15" ht="15.75">
      <c r="B33" s="940">
        <v>0</v>
      </c>
      <c r="C33" s="940">
        <v>0</v>
      </c>
      <c r="D33" s="888"/>
      <c r="E33" s="546"/>
      <c r="F33" s="1096"/>
      <c r="G33" s="975"/>
      <c r="H33" s="975"/>
      <c r="I33" s="975"/>
      <c r="J33" s="975"/>
      <c r="K33" s="1096"/>
      <c r="L33" s="1096"/>
      <c r="M33" s="1096"/>
      <c r="N33" s="1096"/>
      <c r="O33" s="1096"/>
    </row>
    <row r="34" spans="2:15" ht="15.75">
      <c r="D34" s="1311">
        <v>1.2</v>
      </c>
      <c r="E34" s="1123" t="s">
        <v>1289</v>
      </c>
      <c r="F34" s="1132"/>
      <c r="G34" s="1023"/>
      <c r="H34" s="1133"/>
      <c r="I34" s="1133"/>
      <c r="J34" s="1133"/>
      <c r="K34" s="1132"/>
      <c r="L34" s="1132"/>
      <c r="M34" s="1132"/>
      <c r="N34" s="1132"/>
      <c r="O34" s="1134"/>
    </row>
    <row r="35" spans="2:15" ht="15.75">
      <c r="D35" s="888"/>
      <c r="E35" s="893"/>
      <c r="F35" s="1064" t="s">
        <v>1885</v>
      </c>
      <c r="G35" s="976"/>
      <c r="H35" s="1025"/>
      <c r="I35" s="1005"/>
      <c r="J35" s="979" t="str">
        <f>IF(OR(F38=0,AND(J36=0,O36=0)),$R$3,"")</f>
        <v/>
      </c>
      <c r="K35" s="1005"/>
      <c r="L35" s="1005"/>
      <c r="M35" s="975"/>
      <c r="N35" s="1005"/>
      <c r="O35" s="1005"/>
    </row>
    <row r="36" spans="2:15" ht="16.5" thickBot="1">
      <c r="B36" s="1094" t="s">
        <v>1290</v>
      </c>
      <c r="D36" s="888"/>
      <c r="E36" s="893"/>
      <c r="F36" s="1045" t="s">
        <v>1341</v>
      </c>
      <c r="G36" s="904"/>
      <c r="H36" s="905"/>
      <c r="I36" s="906" t="s">
        <v>1121</v>
      </c>
      <c r="J36" s="907">
        <f>重み!M69</f>
        <v>0.32808398950131235</v>
      </c>
      <c r="K36" s="1046"/>
      <c r="L36" s="1048"/>
      <c r="M36" s="1049" t="s">
        <v>1611</v>
      </c>
      <c r="N36" s="906" t="s">
        <v>1121</v>
      </c>
      <c r="O36" s="908">
        <f>重み!N69</f>
        <v>7.874015748031496E-3</v>
      </c>
    </row>
    <row r="37" spans="2:15" s="2521" customFormat="1" ht="18" customHeight="1" thickBot="1">
      <c r="B37" s="2522"/>
      <c r="C37" s="2522"/>
      <c r="D37" s="2523"/>
      <c r="E37" s="2513"/>
      <c r="F37" s="2074">
        <f>IF(F38+K48&gt;=5,5,F38+K48)</f>
        <v>3</v>
      </c>
      <c r="G37" s="2524" t="s">
        <v>2731</v>
      </c>
      <c r="H37" s="2525"/>
      <c r="I37" s="2525"/>
      <c r="J37" s="2525"/>
      <c r="K37" s="2525"/>
      <c r="L37" s="2526"/>
      <c r="M37" s="2074">
        <f>IF(M38+N48&gt;=5,5,M38+N48)</f>
        <v>3</v>
      </c>
      <c r="N37" s="2527" t="s">
        <v>2732</v>
      </c>
      <c r="O37" s="2528"/>
    </row>
    <row r="38" spans="2:15" ht="16.5" thickBot="1">
      <c r="D38" s="888"/>
      <c r="E38" s="893"/>
      <c r="F38" s="910">
        <v>3</v>
      </c>
      <c r="G38" s="1026" t="s">
        <v>1525</v>
      </c>
      <c r="H38" s="916"/>
      <c r="I38" s="1031" t="s">
        <v>1291</v>
      </c>
      <c r="J38" s="1050"/>
      <c r="K38" s="1050" t="s">
        <v>339</v>
      </c>
      <c r="L38" s="1051" t="s">
        <v>381</v>
      </c>
      <c r="M38" s="910">
        <v>3</v>
      </c>
      <c r="N38" s="1026" t="s">
        <v>729</v>
      </c>
      <c r="O38" s="1052"/>
    </row>
    <row r="39" spans="2:15" ht="15.75">
      <c r="B39" s="1">
        <v>1</v>
      </c>
      <c r="C39" s="1">
        <v>1</v>
      </c>
      <c r="D39" s="888"/>
      <c r="E39" s="893"/>
      <c r="F39" s="917" t="str">
        <f>IF(F37=$S$15,$T$10,IF(ROUNDDOWN(F37,0)=$S$10,$U$10,$T$10))</f>
        <v>　レベル　1</v>
      </c>
      <c r="G39" s="3678" t="s">
        <v>1249</v>
      </c>
      <c r="H39" s="3696"/>
      <c r="I39" s="3682" t="s">
        <v>1249</v>
      </c>
      <c r="J39" s="3730"/>
      <c r="K39" s="1054" t="s">
        <v>1659</v>
      </c>
      <c r="L39" s="1054" t="s">
        <v>341</v>
      </c>
      <c r="M39" s="917" t="str">
        <f>IF(M37=$S$15,$T$10,IF(ROUNDDOWN(M37,0)=$S$10,$U$10,$T$10))</f>
        <v>　レベル　1</v>
      </c>
      <c r="N39" s="3682" t="s">
        <v>1249</v>
      </c>
      <c r="O39" s="3730"/>
    </row>
    <row r="40" spans="2:15" ht="32.25" customHeight="1">
      <c r="B40" s="1">
        <v>2</v>
      </c>
      <c r="C40" s="1" t="s">
        <v>2357</v>
      </c>
      <c r="D40" s="888"/>
      <c r="E40" s="893"/>
      <c r="F40" s="922" t="str">
        <f>IF(F37=$S$15,$T$11,IF(ROUNDDOWN(F37,0)=$S$11,$U$11,$T$11))</f>
        <v>　レベル　2</v>
      </c>
      <c r="G40" s="3754" t="s">
        <v>1788</v>
      </c>
      <c r="H40" s="3683"/>
      <c r="I40" s="3754" t="s">
        <v>1788</v>
      </c>
      <c r="J40" s="3730"/>
      <c r="K40" s="1104" t="s">
        <v>2197</v>
      </c>
      <c r="L40" s="3024" t="s">
        <v>3821</v>
      </c>
      <c r="M40" s="922" t="str">
        <f>IF(M37=$S$15,$T$11,IF(ROUNDDOWN(M37,0)=$S$11,$U$11,$T$11))</f>
        <v>　レベル　2</v>
      </c>
      <c r="N40" s="3754" t="s">
        <v>1788</v>
      </c>
      <c r="O40" s="3730"/>
    </row>
    <row r="41" spans="2:15" ht="57" customHeight="1">
      <c r="B41" s="1">
        <v>3</v>
      </c>
      <c r="C41" s="1">
        <v>3</v>
      </c>
      <c r="D41" s="888"/>
      <c r="E41" s="893"/>
      <c r="F41" s="922" t="str">
        <f>IF(F37=$S$15,$T$12,IF(ROUNDDOWN(F37,0)=$S$12,$U$12,$T$12))</f>
        <v>■レベル　3</v>
      </c>
      <c r="G41" s="3682" t="s">
        <v>2759</v>
      </c>
      <c r="H41" s="3683"/>
      <c r="I41" s="3682" t="s">
        <v>2326</v>
      </c>
      <c r="J41" s="3730"/>
      <c r="K41" s="1104" t="s">
        <v>2198</v>
      </c>
      <c r="L41" s="925" t="s">
        <v>734</v>
      </c>
      <c r="M41" s="922" t="str">
        <f>IF(M37=$S$15,$T$12,IF(ROUNDDOWN(M37,0)=$S$12,$U$12,$T$12))</f>
        <v>■レベル　3</v>
      </c>
      <c r="N41" s="3682" t="s">
        <v>2327</v>
      </c>
      <c r="O41" s="3730"/>
    </row>
    <row r="42" spans="2:15" ht="57" customHeight="1">
      <c r="B42" s="1">
        <v>4</v>
      </c>
      <c r="C42" s="1">
        <v>4</v>
      </c>
      <c r="D42" s="888"/>
      <c r="E42" s="893"/>
      <c r="F42" s="922" t="str">
        <f>IF(F37=$S$15,$T$13,IF(ROUNDDOWN(F37,0)=$S$13,$U$13,$T$13))</f>
        <v>　レベル　4</v>
      </c>
      <c r="G42" s="3682" t="s">
        <v>2760</v>
      </c>
      <c r="H42" s="3683"/>
      <c r="I42" s="3682" t="s">
        <v>2328</v>
      </c>
      <c r="J42" s="3730"/>
      <c r="K42" s="1104" t="s">
        <v>2199</v>
      </c>
      <c r="L42" s="925" t="s">
        <v>276</v>
      </c>
      <c r="M42" s="922" t="str">
        <f>IF(M37=$S$15,$T$13,IF(ROUNDDOWN(M37,0)=$S$13,$U$13,$T$13))</f>
        <v>　レベル　4</v>
      </c>
      <c r="N42" s="3682" t="s">
        <v>2329</v>
      </c>
      <c r="O42" s="3730"/>
    </row>
    <row r="43" spans="2:15" ht="57" customHeight="1">
      <c r="B43" s="1">
        <v>5</v>
      </c>
      <c r="C43" s="1">
        <v>5</v>
      </c>
      <c r="D43" s="888"/>
      <c r="E43" s="893"/>
      <c r="F43" s="933" t="str">
        <f>IF(F37=$S$15,$T$14,IF(ROUNDDOWN(F37,0)=$S$14,$U$14,$T$14))</f>
        <v>　レベル　5</v>
      </c>
      <c r="G43" s="3680" t="s">
        <v>2761</v>
      </c>
      <c r="H43" s="3681"/>
      <c r="I43" s="3680" t="s">
        <v>1063</v>
      </c>
      <c r="J43" s="3681"/>
      <c r="K43" s="1135" t="s">
        <v>2200</v>
      </c>
      <c r="L43" s="934" t="s">
        <v>735</v>
      </c>
      <c r="M43" s="933" t="str">
        <f>IF(M37=$S$15,$T$14,IF(ROUNDDOWN(M37,0)=$S$14,$U$14,$T$14))</f>
        <v>　レベル　5</v>
      </c>
      <c r="N43" s="3680" t="s">
        <v>1064</v>
      </c>
      <c r="O43" s="3681"/>
    </row>
    <row r="44" spans="2:15" s="2521" customFormat="1" ht="18" customHeight="1">
      <c r="B44" s="940">
        <v>0</v>
      </c>
      <c r="C44" s="940">
        <v>0</v>
      </c>
      <c r="D44" s="2523"/>
      <c r="E44" s="2513"/>
      <c r="F44" s="2529" t="s">
        <v>2733</v>
      </c>
      <c r="G44" s="2515"/>
      <c r="H44" s="2530"/>
      <c r="I44" s="2530"/>
      <c r="J44" s="2530"/>
      <c r="K44" s="2515"/>
      <c r="L44" s="2515"/>
      <c r="M44" s="2515"/>
      <c r="N44" s="2515"/>
      <c r="O44" s="2515"/>
    </row>
    <row r="45" spans="2:15" s="2521" customFormat="1" ht="18" customHeight="1" thickBot="1">
      <c r="B45" s="2511"/>
      <c r="C45" s="2511"/>
      <c r="D45" s="2523"/>
      <c r="E45" s="2513"/>
      <c r="F45" s="2531" t="s">
        <v>2734</v>
      </c>
      <c r="G45" s="2525"/>
      <c r="H45" s="2525"/>
      <c r="I45" s="2525"/>
      <c r="J45" s="2525"/>
      <c r="K45" s="2525"/>
      <c r="L45" s="2525"/>
      <c r="M45" s="2531" t="s">
        <v>2735</v>
      </c>
      <c r="N45" s="2525"/>
      <c r="O45" s="2532"/>
    </row>
    <row r="46" spans="2:15" s="2521" customFormat="1" ht="30" customHeight="1">
      <c r="B46" s="2511"/>
      <c r="C46" s="2511"/>
      <c r="D46" s="2523"/>
      <c r="E46" s="2513"/>
      <c r="F46" s="2533" t="s">
        <v>2195</v>
      </c>
      <c r="G46" s="2534" t="s">
        <v>2736</v>
      </c>
      <c r="H46" s="3847" t="s">
        <v>2737</v>
      </c>
      <c r="I46" s="3848"/>
      <c r="J46" s="3848"/>
      <c r="K46" s="3848"/>
      <c r="L46" s="3849"/>
      <c r="M46" s="2535" t="s">
        <v>2739</v>
      </c>
      <c r="N46" s="2536" t="s">
        <v>2741</v>
      </c>
      <c r="O46" s="2537" t="s">
        <v>516</v>
      </c>
    </row>
    <row r="47" spans="2:15" s="2521" customFormat="1" ht="30" customHeight="1" thickBot="1">
      <c r="B47" s="2511"/>
      <c r="C47" s="2511"/>
      <c r="D47" s="2523"/>
      <c r="E47" s="2513"/>
      <c r="F47" s="2538" t="s">
        <v>2195</v>
      </c>
      <c r="G47" s="2539" t="s">
        <v>2742</v>
      </c>
      <c r="H47" s="3850" t="s">
        <v>2743</v>
      </c>
      <c r="I47" s="3851"/>
      <c r="J47" s="3851"/>
      <c r="K47" s="3851"/>
      <c r="L47" s="3852"/>
      <c r="M47" s="2538" t="s">
        <v>2195</v>
      </c>
      <c r="N47" s="2540" t="s">
        <v>2744</v>
      </c>
      <c r="O47" s="2541" t="s">
        <v>516</v>
      </c>
    </row>
    <row r="48" spans="2:15" s="2521" customFormat="1" ht="18" customHeight="1">
      <c r="B48" s="2511"/>
      <c r="C48" s="2511"/>
      <c r="D48" s="2523"/>
      <c r="E48" s="2513"/>
      <c r="F48" s="2542"/>
      <c r="G48" s="2543"/>
      <c r="H48" s="2543"/>
      <c r="I48" s="2543"/>
      <c r="J48" s="2543" t="s">
        <v>2745</v>
      </c>
      <c r="K48" s="2544">
        <f>COUNTIF(F46:F47,S3)</f>
        <v>0</v>
      </c>
      <c r="L48" s="2545" t="s">
        <v>2746</v>
      </c>
      <c r="M48" s="2546" t="s">
        <v>2747</v>
      </c>
      <c r="N48" s="2547">
        <f>COUNTIF(M46:M47,S3)</f>
        <v>0</v>
      </c>
      <c r="O48" s="2548" t="s">
        <v>2746</v>
      </c>
    </row>
    <row r="49" spans="2:15" ht="15.75">
      <c r="D49" s="888"/>
      <c r="E49" s="546"/>
      <c r="F49" s="1096"/>
      <c r="G49" s="975"/>
      <c r="H49" s="1042"/>
      <c r="I49" s="1042"/>
      <c r="J49" s="1042"/>
      <c r="K49" s="1096"/>
      <c r="L49" s="1096"/>
      <c r="M49" s="1096"/>
      <c r="N49" s="1096"/>
      <c r="O49" s="1096"/>
    </row>
    <row r="50" spans="2:15" ht="15.75">
      <c r="D50" s="888"/>
      <c r="E50" s="1039"/>
      <c r="F50" s="1064" t="s">
        <v>1065</v>
      </c>
      <c r="G50" s="976"/>
      <c r="H50" s="1025"/>
      <c r="I50" s="1005"/>
      <c r="J50" s="979" t="str">
        <f>IF(OR(F52=0,J51=0),$R$3,"")</f>
        <v/>
      </c>
      <c r="K50" s="1005"/>
      <c r="L50" s="1005"/>
      <c r="M50" s="942"/>
      <c r="N50" s="942"/>
      <c r="O50" s="942"/>
    </row>
    <row r="51" spans="2:15" ht="16.5" thickBot="1">
      <c r="D51" s="888"/>
      <c r="E51" s="1039"/>
      <c r="F51" s="1045" t="s">
        <v>906</v>
      </c>
      <c r="G51" s="904"/>
      <c r="H51" s="905"/>
      <c r="I51" s="906" t="s">
        <v>1121</v>
      </c>
      <c r="J51" s="907">
        <f>重み!M71</f>
        <v>0.32808398950131235</v>
      </c>
      <c r="K51" s="904"/>
      <c r="L51" s="905"/>
      <c r="M51" s="904"/>
      <c r="N51" s="1010"/>
      <c r="O51" s="942"/>
    </row>
    <row r="52" spans="2:15" ht="16.5" thickBot="1">
      <c r="D52" s="888"/>
      <c r="E52" s="1039"/>
      <c r="F52" s="910">
        <v>3</v>
      </c>
      <c r="G52" s="1131" t="s">
        <v>1525</v>
      </c>
      <c r="H52" s="1051"/>
      <c r="I52" s="1051"/>
      <c r="J52" s="1031"/>
      <c r="K52" s="1131" t="s">
        <v>2201</v>
      </c>
      <c r="L52" s="1051"/>
      <c r="M52" s="1051"/>
      <c r="N52" s="1031"/>
      <c r="O52" s="942"/>
    </row>
    <row r="53" spans="2:15" ht="15.75" customHeight="1">
      <c r="B53" s="1" t="s">
        <v>846</v>
      </c>
      <c r="C53" s="1">
        <v>1</v>
      </c>
      <c r="D53" s="888"/>
      <c r="E53" s="1136"/>
      <c r="F53" s="917" t="str">
        <f>IF(F52=$S$15,$T$10,IF(ROUNDDOWN(F52,0)=$S$10,$U$10,$T$10))</f>
        <v>　レベル　1</v>
      </c>
      <c r="G53" s="3678" t="s">
        <v>1496</v>
      </c>
      <c r="H53" s="3698"/>
      <c r="I53" s="3698"/>
      <c r="J53" s="3684"/>
      <c r="K53" s="3678" t="s">
        <v>276</v>
      </c>
      <c r="L53" s="3679"/>
      <c r="M53" s="3679"/>
      <c r="N53" s="3696"/>
      <c r="O53" s="942"/>
    </row>
    <row r="54" spans="2:15" ht="15.75" customHeight="1">
      <c r="B54" s="1">
        <v>2</v>
      </c>
      <c r="C54" s="1">
        <v>2</v>
      </c>
      <c r="D54" s="888"/>
      <c r="E54" s="1136"/>
      <c r="F54" s="922" t="str">
        <f>IF(F52=$S$15,$T$11,IF(ROUNDDOWN(F52,0)=$S$11,$U$11,$T$11))</f>
        <v>　レベル　2</v>
      </c>
      <c r="G54" s="3682" t="s">
        <v>19</v>
      </c>
      <c r="H54" s="3699"/>
      <c r="I54" s="3699"/>
      <c r="J54" s="3726"/>
      <c r="K54" s="3682" t="s">
        <v>22</v>
      </c>
      <c r="L54" s="3688"/>
      <c r="M54" s="3688"/>
      <c r="N54" s="3683"/>
      <c r="O54" s="942"/>
    </row>
    <row r="55" spans="2:15" ht="15.75" customHeight="1">
      <c r="B55" s="1">
        <v>3</v>
      </c>
      <c r="C55" s="1">
        <v>3</v>
      </c>
      <c r="D55" s="888"/>
      <c r="E55" s="1136"/>
      <c r="F55" s="922" t="str">
        <f>IF(F52=$S$15,$T$12,IF(ROUNDDOWN(F52,0)=$S$12,$U$12,$T$12))</f>
        <v>■レベル　3</v>
      </c>
      <c r="G55" s="3682" t="s">
        <v>284</v>
      </c>
      <c r="H55" s="3699"/>
      <c r="I55" s="3699"/>
      <c r="J55" s="3726"/>
      <c r="K55" s="3682" t="s">
        <v>1067</v>
      </c>
      <c r="L55" s="3688"/>
      <c r="M55" s="3688"/>
      <c r="N55" s="3683"/>
      <c r="O55" s="942"/>
    </row>
    <row r="56" spans="2:15" ht="13.5" customHeight="1">
      <c r="B56" s="1">
        <v>4</v>
      </c>
      <c r="C56" s="1">
        <v>4</v>
      </c>
      <c r="D56" s="888"/>
      <c r="E56" s="1136"/>
      <c r="F56" s="922" t="str">
        <f>IF(F52=$S$15,$T$13,IF(ROUNDDOWN(F52,0)=$S$13,$U$13,$T$13))</f>
        <v>　レベル　4</v>
      </c>
      <c r="G56" s="3682" t="s">
        <v>20</v>
      </c>
      <c r="H56" s="3699"/>
      <c r="I56" s="3699"/>
      <c r="J56" s="3726"/>
      <c r="K56" s="3682" t="s">
        <v>1068</v>
      </c>
      <c r="L56" s="3688"/>
      <c r="M56" s="3688"/>
      <c r="N56" s="3683"/>
      <c r="O56" s="942"/>
    </row>
    <row r="57" spans="2:15" ht="13.5" customHeight="1">
      <c r="B57" s="1">
        <v>5</v>
      </c>
      <c r="C57" s="1">
        <v>5</v>
      </c>
      <c r="D57" s="888"/>
      <c r="E57" s="1136"/>
      <c r="F57" s="933" t="str">
        <f>IF(F52=$S$15,$T$14,IF(ROUNDDOWN(F52,0)=$S$14,$U$14,$T$14))</f>
        <v>　レベル　5</v>
      </c>
      <c r="G57" s="3680" t="s">
        <v>21</v>
      </c>
      <c r="H57" s="3704"/>
      <c r="I57" s="3704"/>
      <c r="J57" s="3710"/>
      <c r="K57" s="3680" t="s">
        <v>1069</v>
      </c>
      <c r="L57" s="3687"/>
      <c r="M57" s="3687"/>
      <c r="N57" s="3681"/>
      <c r="O57" s="942"/>
    </row>
    <row r="58" spans="2:15" ht="15.75">
      <c r="B58" s="940">
        <v>0</v>
      </c>
      <c r="C58" s="940">
        <v>0</v>
      </c>
      <c r="D58" s="888"/>
      <c r="E58" s="546"/>
      <c r="F58" s="1040"/>
      <c r="G58" s="975"/>
      <c r="H58" s="975"/>
      <c r="I58" s="975"/>
      <c r="J58" s="975"/>
      <c r="K58" s="1096"/>
      <c r="L58" s="1096"/>
      <c r="M58" s="1096"/>
      <c r="N58" s="1096"/>
      <c r="O58" s="1096"/>
    </row>
    <row r="59" spans="2:15" ht="15.75">
      <c r="D59" s="888"/>
      <c r="E59" s="546"/>
      <c r="F59" s="1064" t="s">
        <v>2202</v>
      </c>
      <c r="G59" s="976"/>
      <c r="H59" s="1025"/>
      <c r="I59" s="1005"/>
      <c r="J59" s="979" t="str">
        <f>IF(OR(F61=0,AND(J60=0,O60=0)),$R$3,"")</f>
        <v/>
      </c>
      <c r="K59" s="1064"/>
      <c r="L59" s="976"/>
      <c r="M59" s="1025"/>
      <c r="N59" s="1005"/>
      <c r="O59" s="979"/>
    </row>
    <row r="60" spans="2:15" ht="16.5" thickBot="1">
      <c r="D60" s="888"/>
      <c r="E60" s="546"/>
      <c r="F60" s="903" t="s">
        <v>2341</v>
      </c>
      <c r="G60" s="904"/>
      <c r="H60" s="905"/>
      <c r="I60" s="906" t="s">
        <v>1121</v>
      </c>
      <c r="J60" s="909">
        <f>重み!M72</f>
        <v>0.34383202099737531</v>
      </c>
      <c r="K60" s="903" t="s">
        <v>1611</v>
      </c>
      <c r="L60" s="904"/>
      <c r="M60" s="905"/>
      <c r="N60" s="906" t="s">
        <v>1121</v>
      </c>
      <c r="O60" s="909">
        <f>重み!N72</f>
        <v>7.874015748031496E-3</v>
      </c>
    </row>
    <row r="61" spans="2:15" ht="16.5" thickBot="1">
      <c r="D61" s="888"/>
      <c r="E61" s="546"/>
      <c r="F61" s="980">
        <f>IF(J60=0,0,F69)</f>
        <v>3</v>
      </c>
      <c r="G61" s="1026" t="s">
        <v>1243</v>
      </c>
      <c r="H61" s="915"/>
      <c r="I61" s="915"/>
      <c r="J61" s="916"/>
      <c r="K61" s="980">
        <f>IF(O60=0,0,K69)</f>
        <v>3</v>
      </c>
      <c r="L61" s="1026" t="s">
        <v>729</v>
      </c>
      <c r="M61" s="916"/>
      <c r="N61" s="1026"/>
      <c r="O61" s="1031"/>
    </row>
    <row r="62" spans="2:15" ht="15.75">
      <c r="B62" s="1">
        <v>1</v>
      </c>
      <c r="C62" s="1">
        <v>1</v>
      </c>
      <c r="D62" s="888"/>
      <c r="E62" s="546"/>
      <c r="F62" s="917" t="str">
        <f>IF(F61=$S$15,$T$10,IF(ROUNDDOWN(F61,0)=$S$10,$U$10,$T$10))</f>
        <v>　レベル　1</v>
      </c>
      <c r="G62" s="3678" t="s">
        <v>312</v>
      </c>
      <c r="H62" s="3698"/>
      <c r="I62" s="3698"/>
      <c r="J62" s="3684"/>
      <c r="K62" s="917" t="str">
        <f>IF(K61=$S$15,$T$10,IF(ROUNDDOWN(K61,0)=$S$10,$U$10,$T$10))</f>
        <v>　レベル　1</v>
      </c>
      <c r="L62" s="3678" t="s">
        <v>312</v>
      </c>
      <c r="M62" s="3698"/>
      <c r="N62" s="3698"/>
      <c r="O62" s="3684"/>
    </row>
    <row r="63" spans="2:15" ht="15.75">
      <c r="B63" s="1" t="s">
        <v>1787</v>
      </c>
      <c r="C63" s="1" t="s">
        <v>1787</v>
      </c>
      <c r="D63" s="888"/>
      <c r="E63" s="546"/>
      <c r="F63" s="922" t="str">
        <f>IF(F61=$S$15,$T$11,IF(ROUNDDOWN(F61,0)=$S$11,$U$11,$T$11))</f>
        <v>　レベル　2</v>
      </c>
      <c r="G63" s="3682" t="s">
        <v>1788</v>
      </c>
      <c r="H63" s="3688"/>
      <c r="I63" s="3688"/>
      <c r="J63" s="3683"/>
      <c r="K63" s="922" t="str">
        <f>IF(K61=$S$15,$T$11,IF(ROUNDDOWN(K61,0)=$S$11,$U$11,$T$11))</f>
        <v>　レベル　2</v>
      </c>
      <c r="L63" s="3716" t="s">
        <v>1788</v>
      </c>
      <c r="M63" s="3717"/>
      <c r="N63" s="3717"/>
      <c r="O63" s="3718"/>
    </row>
    <row r="64" spans="2:15" ht="15.75">
      <c r="B64" s="1">
        <v>3</v>
      </c>
      <c r="C64" s="1">
        <v>3</v>
      </c>
      <c r="D64" s="888"/>
      <c r="E64" s="546"/>
      <c r="F64" s="922" t="str">
        <f>IF(F61=$S$15,$T$12,IF(ROUNDDOWN(F61,0)=$S$12,$U$12,$T$12))</f>
        <v>■レベル　3</v>
      </c>
      <c r="G64" s="3682" t="s">
        <v>1070</v>
      </c>
      <c r="H64" s="3688"/>
      <c r="I64" s="3688"/>
      <c r="J64" s="3683"/>
      <c r="K64" s="922" t="str">
        <f>IF(K61=$S$15,$T$12,IF(ROUNDDOWN(K61,0)=$S$12,$U$12,$T$12))</f>
        <v>■レベル　3</v>
      </c>
      <c r="L64" s="3716" t="s">
        <v>1070</v>
      </c>
      <c r="M64" s="3717"/>
      <c r="N64" s="3717"/>
      <c r="O64" s="3718"/>
    </row>
    <row r="65" spans="2:15" ht="15.75">
      <c r="B65" s="1">
        <v>4</v>
      </c>
      <c r="C65" s="1">
        <v>4</v>
      </c>
      <c r="D65" s="888"/>
      <c r="E65" s="546"/>
      <c r="F65" s="922" t="str">
        <f>IF(F61=$S$15,$T$13,IF(ROUNDDOWN(F61,0)=$S$13,$U$13,$T$13))</f>
        <v>　レベル　4</v>
      </c>
      <c r="G65" s="3682" t="s">
        <v>1071</v>
      </c>
      <c r="H65" s="3688"/>
      <c r="I65" s="3688"/>
      <c r="J65" s="3683"/>
      <c r="K65" s="922" t="str">
        <f>IF(K61=$S$15,$T$13,IF(ROUNDDOWN(K61,0)=$S$13,$U$13,$T$13))</f>
        <v>　レベル　4</v>
      </c>
      <c r="L65" s="3716" t="s">
        <v>1071</v>
      </c>
      <c r="M65" s="3717"/>
      <c r="N65" s="3717"/>
      <c r="O65" s="3718"/>
    </row>
    <row r="66" spans="2:15" ht="16.5" thickBot="1">
      <c r="B66" s="1">
        <v>5</v>
      </c>
      <c r="C66" s="1">
        <v>5</v>
      </c>
      <c r="D66" s="888"/>
      <c r="E66" s="546"/>
      <c r="F66" s="933" t="str">
        <f>IF(F61=$S$15,$T$14,IF(ROUNDDOWN(F61,0)=$S$14,$U$14,$T$14))</f>
        <v>　レベル　5</v>
      </c>
      <c r="G66" s="3680" t="s">
        <v>1072</v>
      </c>
      <c r="H66" s="3687"/>
      <c r="I66" s="3687"/>
      <c r="J66" s="3681"/>
      <c r="K66" s="933" t="str">
        <f>IF(K61=$S$15,$T$14,IF(ROUNDDOWN(K61,0)=$S$14,$U$14,$T$14))</f>
        <v>　レベル　5</v>
      </c>
      <c r="L66" s="3707" t="s">
        <v>1072</v>
      </c>
      <c r="M66" s="3727"/>
      <c r="N66" s="3727"/>
      <c r="O66" s="3728"/>
    </row>
    <row r="67" spans="2:15" ht="16.5" thickBot="1">
      <c r="B67" s="940">
        <v>0</v>
      </c>
      <c r="C67" s="940">
        <v>0</v>
      </c>
      <c r="D67" s="888"/>
      <c r="E67" s="888"/>
      <c r="F67" s="910">
        <v>0</v>
      </c>
      <c r="G67" s="1138" t="s">
        <v>2193</v>
      </c>
      <c r="H67" s="1139" t="s">
        <v>3822</v>
      </c>
      <c r="I67" s="3027"/>
      <c r="J67" s="1020"/>
      <c r="K67" s="910">
        <v>0</v>
      </c>
      <c r="L67" s="1138" t="s">
        <v>2193</v>
      </c>
      <c r="M67" s="1139" t="s">
        <v>3822</v>
      </c>
      <c r="N67" s="3027"/>
      <c r="O67" s="1020"/>
    </row>
    <row r="68" spans="2:15" ht="16.5" thickBot="1">
      <c r="D68" s="888"/>
      <c r="E68" s="546"/>
      <c r="F68" s="1137" t="s">
        <v>2203</v>
      </c>
      <c r="G68" s="942"/>
      <c r="H68" s="1096"/>
      <c r="I68" s="1096"/>
      <c r="J68" s="1096"/>
      <c r="K68" s="1096"/>
      <c r="L68" s="1096"/>
      <c r="M68" s="1096"/>
      <c r="N68" s="1016"/>
      <c r="O68" s="1016"/>
    </row>
    <row r="69" spans="2:15" ht="16.5" thickBot="1">
      <c r="D69" s="888"/>
      <c r="E69" s="888"/>
      <c r="F69" s="1140">
        <f>IF(H67=$T$4,F67,IF(G74&lt;2,1,IF(G74=2,3,IF(G74=3,4,IF(G74=4,5)))))</f>
        <v>3</v>
      </c>
      <c r="G69" s="576" t="s">
        <v>1298</v>
      </c>
      <c r="H69" s="1141"/>
      <c r="I69" s="1141"/>
      <c r="J69" s="1141"/>
      <c r="K69" s="1140">
        <f>IF(M67=$T$4,K67,IF(L74&lt;2,1,IF(L74=2,3,IF(L74=3,4,IF(L74=4,5)))))</f>
        <v>3</v>
      </c>
      <c r="L69" s="576" t="s">
        <v>1073</v>
      </c>
      <c r="M69" s="1141"/>
      <c r="N69" s="1141"/>
      <c r="O69" s="1142"/>
    </row>
    <row r="70" spans="2:15" ht="48.75" customHeight="1">
      <c r="D70" s="888"/>
      <c r="E70" s="546"/>
      <c r="F70" s="1004" t="s">
        <v>2196</v>
      </c>
      <c r="G70" s="3783" t="s">
        <v>2850</v>
      </c>
      <c r="H70" s="3784"/>
      <c r="I70" s="3784"/>
      <c r="J70" s="3785"/>
      <c r="K70" s="1004"/>
      <c r="L70" s="3783" t="s">
        <v>2850</v>
      </c>
      <c r="M70" s="3784"/>
      <c r="N70" s="3784"/>
      <c r="O70" s="3785"/>
    </row>
    <row r="71" spans="2:15" ht="65.25" customHeight="1">
      <c r="D71" s="888"/>
      <c r="E71" s="546"/>
      <c r="F71" s="1006" t="s">
        <v>2196</v>
      </c>
      <c r="G71" s="3783" t="s">
        <v>2851</v>
      </c>
      <c r="H71" s="3786"/>
      <c r="I71" s="3786"/>
      <c r="J71" s="3690"/>
      <c r="K71" s="1006"/>
      <c r="L71" s="3783" t="s">
        <v>2851</v>
      </c>
      <c r="M71" s="3786"/>
      <c r="N71" s="3786"/>
      <c r="O71" s="3690"/>
    </row>
    <row r="72" spans="2:15" ht="54" customHeight="1">
      <c r="D72" s="888"/>
      <c r="E72" s="546"/>
      <c r="F72" s="1006"/>
      <c r="G72" s="3783" t="s">
        <v>2762</v>
      </c>
      <c r="H72" s="3786"/>
      <c r="I72" s="3786"/>
      <c r="J72" s="3690"/>
      <c r="K72" s="1006" t="s">
        <v>2196</v>
      </c>
      <c r="L72" s="3783" t="s">
        <v>2762</v>
      </c>
      <c r="M72" s="3786"/>
      <c r="N72" s="3786"/>
      <c r="O72" s="3690"/>
    </row>
    <row r="73" spans="2:15" ht="48.75" customHeight="1" thickBot="1">
      <c r="D73" s="888"/>
      <c r="E73" s="546"/>
      <c r="F73" s="1013"/>
      <c r="G73" s="3783" t="s">
        <v>1074</v>
      </c>
      <c r="H73" s="3786"/>
      <c r="I73" s="3786"/>
      <c r="J73" s="3690"/>
      <c r="K73" s="1013" t="s">
        <v>2196</v>
      </c>
      <c r="L73" s="3783" t="s">
        <v>1074</v>
      </c>
      <c r="M73" s="3786"/>
      <c r="N73" s="3786"/>
      <c r="O73" s="3690"/>
    </row>
    <row r="74" spans="2:15" ht="15.75">
      <c r="D74" s="888"/>
      <c r="E74" s="546"/>
      <c r="F74" s="3028" t="s">
        <v>3823</v>
      </c>
      <c r="G74" s="3029">
        <f>COUNTIF(F70:F73,$S$3)</f>
        <v>2</v>
      </c>
      <c r="H74" s="3029"/>
      <c r="I74" s="3029"/>
      <c r="J74" s="3025"/>
      <c r="K74" s="3028" t="s">
        <v>3823</v>
      </c>
      <c r="L74" s="3029">
        <f>COUNTIF(K70:K73,$S$3)</f>
        <v>2</v>
      </c>
      <c r="M74" s="3029"/>
      <c r="N74" s="3029"/>
      <c r="O74" s="3026"/>
    </row>
    <row r="75" spans="2:15" s="2445" customFormat="1" ht="15.75">
      <c r="D75" s="888"/>
      <c r="E75" s="546"/>
      <c r="F75" s="1096"/>
      <c r="G75" s="975"/>
      <c r="H75" s="975"/>
      <c r="I75" s="975"/>
      <c r="J75" s="975"/>
      <c r="K75" s="1020"/>
      <c r="L75" s="1020"/>
      <c r="M75" s="942"/>
      <c r="N75" s="942"/>
      <c r="O75" s="942"/>
    </row>
    <row r="76" spans="2:15" ht="15.75">
      <c r="D76" s="1311">
        <v>1.3</v>
      </c>
      <c r="E76" s="1123" t="s">
        <v>1</v>
      </c>
      <c r="F76" s="1132"/>
      <c r="G76" s="1023"/>
      <c r="H76" s="1133"/>
      <c r="I76" s="1133"/>
      <c r="J76" s="1133"/>
      <c r="K76" s="1132"/>
      <c r="L76" s="1132"/>
      <c r="M76" s="1143"/>
      <c r="N76" s="1143"/>
      <c r="O76" s="1143"/>
    </row>
    <row r="77" spans="2:15" ht="15.75">
      <c r="D77" s="888"/>
      <c r="E77" s="546"/>
      <c r="F77" s="1064" t="s">
        <v>1089</v>
      </c>
      <c r="G77" s="976"/>
      <c r="H77" s="1025"/>
      <c r="I77" s="1005"/>
      <c r="J77" s="979" t="str">
        <f>IF(OR(F79=0,J78=0),$R$3,"")</f>
        <v/>
      </c>
      <c r="K77" s="1143"/>
      <c r="L77" s="1023"/>
      <c r="M77" s="1143"/>
      <c r="N77" s="1143"/>
      <c r="O77" s="1143"/>
    </row>
    <row r="78" spans="2:15" ht="16.5" thickBot="1">
      <c r="D78" s="1388"/>
      <c r="E78" s="1123"/>
      <c r="F78" s="1045" t="s">
        <v>1090</v>
      </c>
      <c r="G78" s="904"/>
      <c r="H78" s="905"/>
      <c r="I78" s="906" t="s">
        <v>1121</v>
      </c>
      <c r="J78" s="907">
        <f>重み!M75</f>
        <v>0.5</v>
      </c>
      <c r="K78" s="1046"/>
      <c r="L78" s="906" t="s">
        <v>1091</v>
      </c>
      <c r="M78" s="1144">
        <f>メイン!$J$66</f>
        <v>20320</v>
      </c>
      <c r="N78" s="1145" t="s">
        <v>1092</v>
      </c>
      <c r="O78" s="1146"/>
    </row>
    <row r="79" spans="2:15" ht="16.5" thickBot="1">
      <c r="B79" s="1147" t="s">
        <v>1093</v>
      </c>
      <c r="C79">
        <f>IF(J78=0,0,IF(AND(M78&lt;2000,I102=0),F112,F103))</f>
        <v>3</v>
      </c>
      <c r="D79" s="1388"/>
      <c r="E79" s="1123"/>
      <c r="F79" s="980">
        <f>IF(J78=0,0,F87)</f>
        <v>3</v>
      </c>
      <c r="G79" s="1026" t="s">
        <v>2852</v>
      </c>
      <c r="H79" s="915"/>
      <c r="I79" s="915"/>
      <c r="J79" s="916"/>
      <c r="K79" s="915"/>
      <c r="L79" s="915"/>
      <c r="M79" s="916"/>
      <c r="N79" s="1148" t="s">
        <v>97</v>
      </c>
      <c r="O79" s="1031"/>
    </row>
    <row r="80" spans="2:15" ht="15.75">
      <c r="B80" s="1" t="s">
        <v>846</v>
      </c>
      <c r="C80" s="1">
        <v>1</v>
      </c>
      <c r="D80" s="888"/>
      <c r="E80" s="898"/>
      <c r="F80" s="917" t="str">
        <f>IF(F79=$S$15,$T$10,IF(ROUNDDOWN(F79,0)=$S$10,$U$10,$T$10))</f>
        <v>　レベル　1</v>
      </c>
      <c r="G80" s="1149" t="s">
        <v>1788</v>
      </c>
      <c r="H80" s="1150"/>
      <c r="I80" s="1150"/>
      <c r="J80" s="1150"/>
      <c r="K80" s="1150"/>
      <c r="L80" s="1150"/>
      <c r="M80" s="1151"/>
      <c r="N80" s="3788"/>
      <c r="O80" s="3789"/>
    </row>
    <row r="81" spans="2:15" ht="15.75">
      <c r="B81" s="1">
        <v>2</v>
      </c>
      <c r="C81" s="1">
        <v>2</v>
      </c>
      <c r="D81" s="888"/>
      <c r="E81" s="898"/>
      <c r="F81" s="922" t="str">
        <f>IF(F79=$S$15,$T$11,IF(ROUNDDOWN(F79,0)=$S$11,$U$11,$T$11))</f>
        <v>　レベル　2</v>
      </c>
      <c r="G81" s="1152" t="s">
        <v>2763</v>
      </c>
      <c r="H81" s="1153"/>
      <c r="I81" s="1153"/>
      <c r="J81" s="1153"/>
      <c r="K81" s="1153"/>
      <c r="L81" s="1153"/>
      <c r="M81" s="1154"/>
      <c r="N81" s="3790"/>
      <c r="O81" s="3789"/>
    </row>
    <row r="82" spans="2:15" ht="15.75">
      <c r="B82" s="1">
        <v>3</v>
      </c>
      <c r="C82" s="1">
        <v>3</v>
      </c>
      <c r="D82" s="888"/>
      <c r="E82" s="898"/>
      <c r="F82" s="922" t="str">
        <f>IF(F79=$S$15,$T$12,IF(ROUNDDOWN(F79,0)=$S$12,$U$12,$T$12))</f>
        <v>■レベル　3</v>
      </c>
      <c r="G82" s="1152" t="s">
        <v>2764</v>
      </c>
      <c r="H82" s="1153"/>
      <c r="I82" s="1153"/>
      <c r="J82" s="1153"/>
      <c r="K82" s="1153"/>
      <c r="L82" s="1153"/>
      <c r="M82" s="1154"/>
      <c r="N82" s="3790"/>
      <c r="O82" s="3789"/>
    </row>
    <row r="83" spans="2:15" ht="15.75">
      <c r="B83" s="1">
        <v>4</v>
      </c>
      <c r="C83" s="1">
        <v>4</v>
      </c>
      <c r="D83" s="888"/>
      <c r="E83" s="898"/>
      <c r="F83" s="922" t="str">
        <f>IF(F79=$S$15,$T$13,IF(ROUNDDOWN(F79,0)=$S$13,$U$13,$T$13))</f>
        <v>　レベル　4</v>
      </c>
      <c r="G83" s="1152" t="s">
        <v>2765</v>
      </c>
      <c r="H83" s="1153"/>
      <c r="I83" s="1153"/>
      <c r="J83" s="1153"/>
      <c r="K83" s="1153"/>
      <c r="L83" s="1153"/>
      <c r="M83" s="1154"/>
      <c r="N83" s="3790"/>
      <c r="O83" s="3789"/>
    </row>
    <row r="84" spans="2:15" ht="16.5" thickBot="1">
      <c r="B84" s="1">
        <v>5</v>
      </c>
      <c r="C84" s="1">
        <v>5</v>
      </c>
      <c r="D84" s="888"/>
      <c r="E84" s="898"/>
      <c r="F84" s="933" t="str">
        <f>IF(F79=$S$15,$T$14,IF(ROUNDDOWN(F79,0)=$S$14,$U$14,$T$14))</f>
        <v>　レベル　5</v>
      </c>
      <c r="G84" s="1155" t="s">
        <v>2766</v>
      </c>
      <c r="H84" s="1156"/>
      <c r="I84" s="1156"/>
      <c r="J84" s="1156"/>
      <c r="K84" s="1156"/>
      <c r="L84" s="1156"/>
      <c r="M84" s="1157"/>
      <c r="N84" s="3791"/>
      <c r="O84" s="3792"/>
    </row>
    <row r="85" spans="2:15" ht="16.5" thickBot="1">
      <c r="B85" s="940">
        <v>0</v>
      </c>
      <c r="C85" s="940">
        <v>0</v>
      </c>
      <c r="D85" s="888"/>
      <c r="E85" s="888"/>
      <c r="F85" s="910">
        <v>0</v>
      </c>
      <c r="G85" s="1138" t="s">
        <v>2193</v>
      </c>
      <c r="H85" s="1139" t="s">
        <v>3822</v>
      </c>
      <c r="I85" s="3027"/>
      <c r="J85" s="1020"/>
      <c r="K85" s="1143"/>
      <c r="L85" s="1143"/>
      <c r="M85" s="1143"/>
      <c r="N85" s="1143"/>
      <c r="O85" s="1143"/>
    </row>
    <row r="86" spans="2:15" ht="16.5" thickBot="1">
      <c r="B86" t="s">
        <v>615</v>
      </c>
      <c r="D86" s="888"/>
      <c r="E86" s="898"/>
      <c r="F86" s="1137" t="s">
        <v>2203</v>
      </c>
      <c r="G86" s="1137"/>
      <c r="H86" s="975"/>
      <c r="I86" s="1158"/>
      <c r="J86" s="1159"/>
      <c r="K86" s="1159"/>
      <c r="L86" s="975"/>
      <c r="M86" s="975"/>
      <c r="N86" s="1143"/>
      <c r="O86" s="1143"/>
    </row>
    <row r="87" spans="2:15" ht="16.5" thickBot="1">
      <c r="D87" s="888"/>
      <c r="E87" s="888"/>
      <c r="F87" s="1140">
        <f>IF(H85=$T$4,F85,IF(G100&lt;=2,2,IF(G100&lt;=5,3,IF(G100&lt;=8,4,5))))</f>
        <v>3</v>
      </c>
      <c r="G87" s="576" t="s">
        <v>1430</v>
      </c>
      <c r="H87" s="1141"/>
      <c r="I87" s="1141"/>
      <c r="J87" s="1141"/>
      <c r="K87" s="1141"/>
      <c r="L87" s="1141"/>
      <c r="M87" s="1141"/>
      <c r="N87" s="1160"/>
    </row>
    <row r="88" spans="2:15" ht="15.75">
      <c r="D88" s="888"/>
      <c r="E88" s="546"/>
      <c r="F88" s="1004" t="s">
        <v>2196</v>
      </c>
      <c r="G88" s="1161" t="s">
        <v>2767</v>
      </c>
      <c r="H88" s="1162"/>
      <c r="I88" s="1162"/>
      <c r="J88" s="1162"/>
      <c r="K88" s="1162"/>
      <c r="L88" s="1162"/>
      <c r="M88" s="1162"/>
      <c r="N88" s="1163"/>
    </row>
    <row r="89" spans="2:15" ht="15.75">
      <c r="D89" s="888"/>
      <c r="E89" s="546"/>
      <c r="F89" s="1006" t="s">
        <v>2196</v>
      </c>
      <c r="G89" s="1164" t="s">
        <v>2768</v>
      </c>
      <c r="H89" s="1165"/>
      <c r="I89" s="1165"/>
      <c r="J89" s="1165"/>
      <c r="K89" s="1165"/>
      <c r="L89" s="1165"/>
      <c r="M89" s="1165"/>
      <c r="N89" s="1166"/>
    </row>
    <row r="90" spans="2:15" ht="15.75">
      <c r="D90" s="888"/>
      <c r="E90" s="546"/>
      <c r="F90" s="1006" t="s">
        <v>2196</v>
      </c>
      <c r="G90" s="1164" t="s">
        <v>23</v>
      </c>
      <c r="H90" s="1165"/>
      <c r="I90" s="1165"/>
      <c r="J90" s="1165"/>
      <c r="K90" s="1165"/>
      <c r="L90" s="1165"/>
      <c r="M90" s="1165"/>
      <c r="N90" s="1166"/>
    </row>
    <row r="91" spans="2:15" ht="15.75">
      <c r="D91" s="888"/>
      <c r="E91" s="546"/>
      <c r="F91" s="1006"/>
      <c r="G91" s="1164" t="s">
        <v>1431</v>
      </c>
      <c r="H91" s="1165"/>
      <c r="I91" s="1165"/>
      <c r="J91" s="1165"/>
      <c r="K91" s="1165"/>
      <c r="L91" s="1165"/>
      <c r="M91" s="1165"/>
      <c r="N91" s="1166"/>
    </row>
    <row r="92" spans="2:15" ht="15.75">
      <c r="D92" s="888"/>
      <c r="E92" s="546"/>
      <c r="F92" s="1006"/>
      <c r="G92" s="1164" t="s">
        <v>2769</v>
      </c>
      <c r="H92" s="1165"/>
      <c r="I92" s="1165"/>
      <c r="J92" s="1165"/>
      <c r="K92" s="1165"/>
      <c r="L92" s="1165"/>
      <c r="M92" s="1165"/>
      <c r="N92" s="1166"/>
    </row>
    <row r="93" spans="2:15" ht="15.75">
      <c r="D93" s="888"/>
      <c r="E93" s="546"/>
      <c r="F93" s="1006"/>
      <c r="G93" s="1164" t="s">
        <v>1432</v>
      </c>
      <c r="H93" s="1165"/>
      <c r="I93" s="1165"/>
      <c r="J93" s="1165"/>
      <c r="K93" s="1165"/>
      <c r="L93" s="1165"/>
      <c r="M93" s="1165"/>
      <c r="N93" s="1166"/>
    </row>
    <row r="94" spans="2:15" ht="15.75">
      <c r="D94" s="888"/>
      <c r="E94" s="546"/>
      <c r="F94" s="1006"/>
      <c r="G94" s="1164" t="s">
        <v>1075</v>
      </c>
      <c r="H94" s="1165"/>
      <c r="I94" s="1165"/>
      <c r="J94" s="1165"/>
      <c r="K94" s="1165"/>
      <c r="L94" s="1165"/>
      <c r="M94" s="1165"/>
      <c r="N94" s="1166"/>
    </row>
    <row r="95" spans="2:15" ht="15.75">
      <c r="D95" s="888"/>
      <c r="E95" s="546"/>
      <c r="F95" s="1006" t="s">
        <v>2196</v>
      </c>
      <c r="G95" s="1164" t="s">
        <v>2770</v>
      </c>
      <c r="H95" s="1165"/>
      <c r="I95" s="1165"/>
      <c r="J95" s="1165"/>
      <c r="K95" s="1165"/>
      <c r="L95" s="1165"/>
      <c r="M95" s="1165"/>
      <c r="N95" s="1166"/>
    </row>
    <row r="96" spans="2:15" ht="15.75">
      <c r="D96" s="888"/>
      <c r="E96" s="546"/>
      <c r="F96" s="1006"/>
      <c r="G96" s="1164" t="s">
        <v>2771</v>
      </c>
      <c r="H96" s="1165"/>
      <c r="I96" s="1165"/>
      <c r="J96" s="1165"/>
      <c r="K96" s="1165"/>
      <c r="L96" s="1165"/>
      <c r="M96" s="1165"/>
      <c r="N96" s="1166"/>
    </row>
    <row r="97" spans="2:15" ht="15.75">
      <c r="D97" s="888"/>
      <c r="E97" s="546"/>
      <c r="F97" s="1006"/>
      <c r="G97" s="1164" t="s">
        <v>1433</v>
      </c>
      <c r="H97" s="1165"/>
      <c r="I97" s="1165"/>
      <c r="J97" s="1165"/>
      <c r="K97" s="1165"/>
      <c r="L97" s="1165"/>
      <c r="M97" s="1165"/>
      <c r="N97" s="1166"/>
    </row>
    <row r="98" spans="2:15" ht="15.75">
      <c r="D98" s="888"/>
      <c r="E98" s="546"/>
      <c r="F98" s="1006" t="s">
        <v>2196</v>
      </c>
      <c r="G98" s="1164" t="s">
        <v>2772</v>
      </c>
      <c r="H98" s="1165"/>
      <c r="I98" s="1165"/>
      <c r="J98" s="1165"/>
      <c r="K98" s="1165"/>
      <c r="L98" s="1165"/>
      <c r="M98" s="1165"/>
      <c r="N98" s="1166"/>
    </row>
    <row r="99" spans="2:15" ht="16.5" thickBot="1">
      <c r="D99" s="888"/>
      <c r="E99" s="546"/>
      <c r="F99" s="1013"/>
      <c r="G99" s="1167" t="s">
        <v>1076</v>
      </c>
      <c r="H99" s="1168"/>
      <c r="I99" s="1168"/>
      <c r="J99" s="1168"/>
      <c r="K99" s="1168"/>
      <c r="L99" s="1168"/>
      <c r="M99" s="1168"/>
      <c r="N99" s="1169"/>
    </row>
    <row r="100" spans="2:15" ht="15.75">
      <c r="D100" s="888"/>
      <c r="E100" s="546"/>
      <c r="F100" s="3028" t="s">
        <v>3823</v>
      </c>
      <c r="G100" s="1171">
        <f>COUNTIF(F88:F99,$S$3)</f>
        <v>5</v>
      </c>
      <c r="H100" s="1171"/>
      <c r="I100" s="1171"/>
      <c r="J100" s="1172"/>
      <c r="K100" s="1173"/>
      <c r="L100" s="1173"/>
      <c r="M100" s="1172"/>
      <c r="N100" s="1174"/>
    </row>
    <row r="101" spans="2:15" ht="14.25" hidden="1" thickBot="1">
      <c r="B101" s="1094" t="s">
        <v>614</v>
      </c>
      <c r="F101" s="975" t="s">
        <v>2441</v>
      </c>
      <c r="G101" s="2421"/>
      <c r="H101" s="2421"/>
      <c r="I101" s="1693"/>
      <c r="J101" s="2413"/>
      <c r="K101" s="3843" t="s">
        <v>1523</v>
      </c>
      <c r="L101" s="3844"/>
      <c r="M101" s="3845"/>
      <c r="N101" s="975"/>
      <c r="O101" s="1143"/>
    </row>
    <row r="102" spans="2:15" ht="14.25" hidden="1" thickBot="1">
      <c r="F102" s="1140">
        <f>IF(H86=$T$4,F86,ROUND(IF(G110&lt;=2,1,IF(G110&lt;=5,2,IF(G110&lt;=8,3,IF(G110&lt;=11,4,IF(G110&gt;=12,5))))),0))</f>
        <v>3</v>
      </c>
      <c r="G102" s="1141" t="s">
        <v>1434</v>
      </c>
      <c r="H102" s="1141"/>
      <c r="I102" s="576" t="s">
        <v>2442</v>
      </c>
      <c r="J102" s="1141"/>
      <c r="K102" s="1141"/>
      <c r="L102" s="1141"/>
      <c r="M102" s="1141"/>
      <c r="N102" s="1175" t="s">
        <v>1435</v>
      </c>
      <c r="O102" s="1143"/>
    </row>
    <row r="103" spans="2:15" hidden="1">
      <c r="F103" s="1176">
        <v>3</v>
      </c>
      <c r="G103" s="1150" t="s">
        <v>2443</v>
      </c>
      <c r="H103" s="1151"/>
      <c r="I103" s="1149" t="s">
        <v>2444</v>
      </c>
      <c r="J103" s="1150"/>
      <c r="K103" s="1150"/>
      <c r="L103" s="1150"/>
      <c r="M103" s="1150"/>
      <c r="N103" s="1177">
        <v>3</v>
      </c>
      <c r="O103" s="1143"/>
    </row>
    <row r="104" spans="2:15" hidden="1">
      <c r="F104" s="1178">
        <v>1</v>
      </c>
      <c r="G104" s="2417" t="s">
        <v>2445</v>
      </c>
      <c r="H104" s="2418"/>
      <c r="I104" s="1152" t="s">
        <v>2446</v>
      </c>
      <c r="J104" s="2417"/>
      <c r="K104" s="2417"/>
      <c r="L104" s="2417"/>
      <c r="M104" s="2417"/>
      <c r="N104" s="1179">
        <v>1</v>
      </c>
      <c r="O104" s="1143"/>
    </row>
    <row r="105" spans="2:15" hidden="1">
      <c r="F105" s="1178">
        <v>3</v>
      </c>
      <c r="G105" s="2417" t="s">
        <v>2447</v>
      </c>
      <c r="H105" s="2418"/>
      <c r="I105" s="1152" t="s">
        <v>2448</v>
      </c>
      <c r="J105" s="2417"/>
      <c r="K105" s="2417"/>
      <c r="L105" s="2417"/>
      <c r="M105" s="2417"/>
      <c r="N105" s="1179">
        <v>3</v>
      </c>
      <c r="O105" s="1143"/>
    </row>
    <row r="106" spans="2:15" hidden="1">
      <c r="F106" s="1178">
        <v>0</v>
      </c>
      <c r="G106" s="2417" t="s">
        <v>2449</v>
      </c>
      <c r="H106" s="2418"/>
      <c r="I106" s="1152" t="s">
        <v>2450</v>
      </c>
      <c r="J106" s="2417"/>
      <c r="K106" s="2417"/>
      <c r="L106" s="2417"/>
      <c r="M106" s="2417"/>
      <c r="N106" s="1179">
        <v>2</v>
      </c>
      <c r="O106" s="1143"/>
    </row>
    <row r="107" spans="2:15" hidden="1">
      <c r="F107" s="1178">
        <v>0</v>
      </c>
      <c r="G107" s="2417" t="s">
        <v>2451</v>
      </c>
      <c r="H107" s="2418"/>
      <c r="I107" s="1152" t="s">
        <v>2452</v>
      </c>
      <c r="J107" s="2417"/>
      <c r="K107" s="2417"/>
      <c r="L107" s="2417"/>
      <c r="M107" s="2417"/>
      <c r="N107" s="1179">
        <v>1</v>
      </c>
      <c r="O107" s="1143"/>
    </row>
    <row r="108" spans="2:15" hidden="1">
      <c r="F108" s="1178">
        <v>0</v>
      </c>
      <c r="G108" s="2417" t="s">
        <v>2453</v>
      </c>
      <c r="H108" s="2418"/>
      <c r="I108" s="1152" t="s">
        <v>2454</v>
      </c>
      <c r="J108" s="2417"/>
      <c r="K108" s="2417"/>
      <c r="L108" s="2417"/>
      <c r="M108" s="2417"/>
      <c r="N108" s="1179">
        <v>2</v>
      </c>
      <c r="O108" s="1143"/>
    </row>
    <row r="109" spans="2:15" ht="14.25" hidden="1" thickBot="1">
      <c r="F109" s="1180">
        <v>0</v>
      </c>
      <c r="G109" s="1156" t="s">
        <v>2455</v>
      </c>
      <c r="H109" s="1157"/>
      <c r="I109" s="1155" t="s">
        <v>2456</v>
      </c>
      <c r="J109" s="1156"/>
      <c r="K109" s="1156"/>
      <c r="L109" s="1156"/>
      <c r="M109" s="1156"/>
      <c r="N109" s="2420">
        <v>1</v>
      </c>
      <c r="O109" s="1143"/>
    </row>
    <row r="110" spans="2:15" ht="14.25" hidden="1">
      <c r="F110" s="1170" t="s">
        <v>2457</v>
      </c>
      <c r="G110" s="3787">
        <f>SUM(F103:F109)</f>
        <v>7</v>
      </c>
      <c r="H110" s="3787"/>
      <c r="I110" s="3787"/>
      <c r="J110" s="2419"/>
      <c r="K110" s="1173"/>
      <c r="L110" s="2419"/>
      <c r="M110" s="1173"/>
      <c r="N110" s="1182"/>
      <c r="O110" s="1143"/>
    </row>
    <row r="111" spans="2:15" ht="14.25" hidden="1" thickBot="1">
      <c r="F111" s="975" t="s">
        <v>2458</v>
      </c>
      <c r="G111" s="2413"/>
      <c r="H111" s="2413"/>
      <c r="I111" s="2413"/>
      <c r="J111" s="2413"/>
      <c r="K111" s="2413"/>
      <c r="L111" s="2413"/>
      <c r="M111" s="2413"/>
      <c r="N111" s="2413"/>
      <c r="O111" s="1143"/>
    </row>
    <row r="112" spans="2:15" ht="14.25" hidden="1" thickBot="1">
      <c r="F112" s="1140">
        <f>IF(H86=$T$4,F86,ROUND(IF(G119&lt;=2,1,IF(G119&lt;=5,2,IF(G119&lt;=8,3,IF(G119&lt;=11,4,IF(G119&gt;=12,5))))),0))</f>
        <v>4</v>
      </c>
      <c r="G112" s="1141" t="s">
        <v>1434</v>
      </c>
      <c r="H112" s="1141"/>
      <c r="I112" s="576" t="s">
        <v>2442</v>
      </c>
      <c r="J112" s="1141"/>
      <c r="K112" s="1141"/>
      <c r="L112" s="1141"/>
      <c r="M112" s="1141"/>
      <c r="N112" s="1175" t="s">
        <v>1435</v>
      </c>
      <c r="O112" s="1143"/>
    </row>
    <row r="113" spans="2:15" hidden="1">
      <c r="F113" s="1183">
        <v>3</v>
      </c>
      <c r="G113" s="1150" t="s">
        <v>2459</v>
      </c>
      <c r="H113" s="1151"/>
      <c r="I113" s="1149" t="s">
        <v>2460</v>
      </c>
      <c r="J113" s="1150"/>
      <c r="K113" s="1150"/>
      <c r="L113" s="1150"/>
      <c r="M113" s="1150"/>
      <c r="N113" s="1177">
        <v>3</v>
      </c>
      <c r="O113" s="1143"/>
    </row>
    <row r="114" spans="2:15" hidden="1">
      <c r="F114" s="1184">
        <v>3</v>
      </c>
      <c r="G114" s="2417" t="s">
        <v>2461</v>
      </c>
      <c r="H114" s="2418"/>
      <c r="I114" s="1152" t="s">
        <v>2462</v>
      </c>
      <c r="J114" s="2417"/>
      <c r="K114" s="2417"/>
      <c r="L114" s="2417"/>
      <c r="M114" s="2417"/>
      <c r="N114" s="1179">
        <v>3</v>
      </c>
      <c r="O114" s="1143"/>
    </row>
    <row r="115" spans="2:15" hidden="1">
      <c r="F115" s="1184">
        <v>3</v>
      </c>
      <c r="G115" s="2417" t="s">
        <v>2463</v>
      </c>
      <c r="H115" s="2418"/>
      <c r="I115" s="1152" t="s">
        <v>2464</v>
      </c>
      <c r="J115" s="2417"/>
      <c r="K115" s="2417"/>
      <c r="L115" s="2417"/>
      <c r="M115" s="2417"/>
      <c r="N115" s="1179">
        <v>3</v>
      </c>
      <c r="O115" s="1143"/>
    </row>
    <row r="116" spans="2:15" hidden="1">
      <c r="F116" s="1184">
        <v>0</v>
      </c>
      <c r="G116" s="2417" t="s">
        <v>2465</v>
      </c>
      <c r="H116" s="2418"/>
      <c r="I116" s="1152" t="s">
        <v>2466</v>
      </c>
      <c r="J116" s="2417"/>
      <c r="K116" s="2417"/>
      <c r="L116" s="2417"/>
      <c r="M116" s="2417"/>
      <c r="N116" s="1179">
        <v>2</v>
      </c>
      <c r="O116" s="1143"/>
    </row>
    <row r="117" spans="2:15" hidden="1">
      <c r="F117" s="1184">
        <v>0</v>
      </c>
      <c r="G117" s="2417" t="s">
        <v>2467</v>
      </c>
      <c r="H117" s="2418"/>
      <c r="I117" s="1152" t="s">
        <v>2468</v>
      </c>
      <c r="J117" s="2417"/>
      <c r="K117" s="2417"/>
      <c r="L117" s="2417"/>
      <c r="M117" s="2417"/>
      <c r="N117" s="1179">
        <v>1</v>
      </c>
      <c r="O117" s="1143"/>
    </row>
    <row r="118" spans="2:15" ht="14.25" hidden="1" thickBot="1">
      <c r="F118" s="1185">
        <v>0</v>
      </c>
      <c r="G118" s="1156" t="s">
        <v>2469</v>
      </c>
      <c r="H118" s="2418"/>
      <c r="I118" s="1152" t="s">
        <v>2470</v>
      </c>
      <c r="J118" s="2417"/>
      <c r="K118" s="2417"/>
      <c r="L118" s="2417"/>
      <c r="M118" s="2417"/>
      <c r="N118" s="1179">
        <v>1</v>
      </c>
      <c r="O118" s="1143"/>
    </row>
    <row r="119" spans="2:15" ht="14.25" hidden="1">
      <c r="F119" s="1170" t="s">
        <v>2457</v>
      </c>
      <c r="G119" s="3787">
        <f>SUM(F113:F118)</f>
        <v>9</v>
      </c>
      <c r="H119" s="3787"/>
      <c r="I119" s="3787"/>
      <c r="J119" s="2419"/>
      <c r="K119" s="1173"/>
      <c r="L119" s="2419"/>
      <c r="M119" s="1173"/>
      <c r="N119" s="1182"/>
      <c r="O119" s="1143"/>
    </row>
    <row r="120" spans="2:15" ht="15.75">
      <c r="D120" s="888"/>
      <c r="E120" s="546"/>
      <c r="F120" s="942"/>
      <c r="G120" s="975"/>
      <c r="H120" s="975"/>
      <c r="I120" s="975"/>
      <c r="J120" s="975"/>
      <c r="K120" s="1020"/>
      <c r="L120" s="1020"/>
      <c r="M120" s="942"/>
      <c r="N120" s="1143"/>
      <c r="O120" s="1143"/>
    </row>
    <row r="121" spans="2:15" ht="15.75">
      <c r="D121" s="888"/>
      <c r="E121" s="546"/>
      <c r="F121" s="1064" t="s">
        <v>1463</v>
      </c>
      <c r="G121" s="976"/>
      <c r="H121" s="1025"/>
      <c r="I121" s="1005"/>
      <c r="J121" s="979" t="str">
        <f>IF(OR(F123=0,J122=0),$R$3,"")</f>
        <v/>
      </c>
      <c r="K121" s="1143"/>
      <c r="L121" s="1023"/>
      <c r="M121" s="1143"/>
      <c r="N121" s="942"/>
      <c r="O121" s="942"/>
    </row>
    <row r="122" spans="2:15" ht="16.5" thickBot="1">
      <c r="D122" s="1388"/>
      <c r="E122" s="1123"/>
      <c r="F122" s="1045" t="s">
        <v>380</v>
      </c>
      <c r="G122" s="904"/>
      <c r="H122" s="905"/>
      <c r="I122" s="906" t="s">
        <v>1121</v>
      </c>
      <c r="J122" s="907">
        <f>重み!M76</f>
        <v>0.5</v>
      </c>
      <c r="K122" s="1046"/>
      <c r="L122" s="906" t="s">
        <v>1091</v>
      </c>
      <c r="M122" s="1144">
        <f>メイン!$J$66</f>
        <v>20320</v>
      </c>
      <c r="N122" s="1145" t="s">
        <v>1092</v>
      </c>
      <c r="O122" s="1146"/>
    </row>
    <row r="123" spans="2:15" ht="15" thickBot="1">
      <c r="B123" s="1147" t="s">
        <v>1093</v>
      </c>
      <c r="E123" s="1123"/>
      <c r="F123" s="980">
        <f>IF(J122=0,0,F131)</f>
        <v>3</v>
      </c>
      <c r="G123" s="1026" t="s">
        <v>2852</v>
      </c>
      <c r="H123" s="915"/>
      <c r="I123" s="915"/>
      <c r="J123" s="916"/>
      <c r="K123" s="915"/>
      <c r="L123" s="915"/>
      <c r="M123" s="916"/>
      <c r="N123" s="1148" t="s">
        <v>97</v>
      </c>
      <c r="O123" s="1031"/>
    </row>
    <row r="124" spans="2:15" ht="15.75" customHeight="1">
      <c r="B124" s="1" t="s">
        <v>1787</v>
      </c>
      <c r="C124" s="1">
        <v>1</v>
      </c>
      <c r="E124" s="898"/>
      <c r="F124" s="917" t="str">
        <f>IF(F123=$S$15,$T$10,IF(ROUNDDOWN(F123,0)=$S$10,$U$10,$T$10))</f>
        <v>　レベル　1</v>
      </c>
      <c r="G124" s="926" t="s">
        <v>1080</v>
      </c>
      <c r="H124" s="1150"/>
      <c r="I124" s="1150"/>
      <c r="J124" s="1150"/>
      <c r="K124" s="1150"/>
      <c r="L124" s="1150"/>
      <c r="M124" s="1151"/>
      <c r="N124" s="3793" t="s">
        <v>3824</v>
      </c>
      <c r="O124" s="3789"/>
    </row>
    <row r="125" spans="2:15" ht="15.75">
      <c r="B125" s="1">
        <v>2</v>
      </c>
      <c r="C125" s="1">
        <v>2</v>
      </c>
      <c r="E125" s="898"/>
      <c r="F125" s="922" t="str">
        <f>IF(F123=$S$15,$T$11,IF(ROUNDDOWN(F123,0)=$S$11,$U$11,$T$11))</f>
        <v>　レベル　2</v>
      </c>
      <c r="G125" s="926" t="s">
        <v>2773</v>
      </c>
      <c r="H125" s="1153"/>
      <c r="I125" s="1153"/>
      <c r="J125" s="1153"/>
      <c r="K125" s="1153"/>
      <c r="L125" s="1153"/>
      <c r="M125" s="1154"/>
      <c r="N125" s="3790"/>
      <c r="O125" s="3789"/>
    </row>
    <row r="126" spans="2:15" ht="15.75">
      <c r="B126" s="1">
        <v>3</v>
      </c>
      <c r="C126" s="1">
        <v>3</v>
      </c>
      <c r="E126" s="898"/>
      <c r="F126" s="922" t="str">
        <f>IF(F123=$S$15,$T$12,IF(ROUNDDOWN(F123,0)=$S$12,$U$12,$T$12))</f>
        <v>■レベル　3</v>
      </c>
      <c r="G126" s="926" t="s">
        <v>2774</v>
      </c>
      <c r="H126" s="1153"/>
      <c r="I126" s="1153"/>
      <c r="J126" s="1153"/>
      <c r="K126" s="1153"/>
      <c r="L126" s="1153"/>
      <c r="M126" s="1154"/>
      <c r="N126" s="3790"/>
      <c r="O126" s="3789"/>
    </row>
    <row r="127" spans="2:15" ht="15.75">
      <c r="B127" s="1">
        <v>4</v>
      </c>
      <c r="C127" s="1">
        <v>4</v>
      </c>
      <c r="E127" s="898"/>
      <c r="F127" s="922" t="str">
        <f>IF(F123=$S$15,$T$13,IF(ROUNDDOWN(F123,0)=$S$13,$U$13,$T$13))</f>
        <v>　レベル　4</v>
      </c>
      <c r="G127" s="926" t="s">
        <v>2775</v>
      </c>
      <c r="H127" s="1153"/>
      <c r="I127" s="1153"/>
      <c r="J127" s="1153"/>
      <c r="K127" s="1153"/>
      <c r="L127" s="1153"/>
      <c r="M127" s="1154"/>
      <c r="N127" s="3790"/>
      <c r="O127" s="3789"/>
    </row>
    <row r="128" spans="2:15" ht="16.5" thickBot="1">
      <c r="B128" s="1">
        <v>5</v>
      </c>
      <c r="C128" s="1">
        <v>5</v>
      </c>
      <c r="E128" s="898"/>
      <c r="F128" s="933" t="str">
        <f>IF(F123=$S$15,$T$14,IF(ROUNDDOWN(F123,0)=$S$14,$U$14,$T$14))</f>
        <v>　レベル　5</v>
      </c>
      <c r="G128" s="937" t="s">
        <v>2776</v>
      </c>
      <c r="H128" s="1156"/>
      <c r="I128" s="1156"/>
      <c r="J128" s="1156"/>
      <c r="K128" s="1156"/>
      <c r="L128" s="1156"/>
      <c r="M128" s="1157"/>
      <c r="N128" s="3791"/>
      <c r="O128" s="3792"/>
    </row>
    <row r="129" spans="2:15" ht="16.5" thickBot="1">
      <c r="B129" s="940">
        <v>0</v>
      </c>
      <c r="C129" s="940">
        <v>0</v>
      </c>
      <c r="D129" s="888"/>
      <c r="E129" s="888"/>
      <c r="F129" s="910">
        <v>0</v>
      </c>
      <c r="G129" s="1138" t="s">
        <v>2193</v>
      </c>
      <c r="H129" s="1139" t="s">
        <v>3822</v>
      </c>
      <c r="I129" s="3030"/>
      <c r="J129" s="2549" t="s">
        <v>2195</v>
      </c>
      <c r="K129" s="2550" t="s">
        <v>2853</v>
      </c>
      <c r="L129" s="2551"/>
      <c r="M129" s="2551"/>
      <c r="N129" s="2552"/>
      <c r="O129" s="942"/>
    </row>
    <row r="130" spans="2:15" ht="16.5" thickBot="1">
      <c r="B130" t="s">
        <v>615</v>
      </c>
      <c r="E130" s="898"/>
      <c r="F130" s="1137" t="s">
        <v>2203</v>
      </c>
      <c r="G130" s="1137"/>
      <c r="H130" s="975"/>
      <c r="I130" s="1158"/>
      <c r="J130" s="1159"/>
      <c r="K130" s="1159"/>
      <c r="L130" s="975"/>
      <c r="M130" s="975"/>
      <c r="N130" s="975"/>
      <c r="O130" s="975"/>
    </row>
    <row r="131" spans="2:15" ht="16.5" thickBot="1">
      <c r="D131" s="888"/>
      <c r="E131" s="888"/>
      <c r="F131" s="1140">
        <f>IF(H129=$T$4,F129,IF(G145&lt;=3,2,IF(G145&lt;=6,3,IF(G145&lt;=9,4,5))))</f>
        <v>3</v>
      </c>
      <c r="G131" s="576" t="s">
        <v>1081</v>
      </c>
      <c r="H131" s="1141"/>
      <c r="I131" s="1141"/>
      <c r="J131" s="1141"/>
      <c r="K131" s="1141"/>
      <c r="L131" s="576" t="s">
        <v>2138</v>
      </c>
      <c r="M131" s="1141"/>
      <c r="N131" s="1141"/>
      <c r="O131" s="1186"/>
    </row>
    <row r="132" spans="2:15" ht="27.75" customHeight="1">
      <c r="D132" s="888"/>
      <c r="E132" s="546"/>
      <c r="F132" s="3450"/>
      <c r="G132" s="1187" t="s">
        <v>2777</v>
      </c>
      <c r="H132" s="1188"/>
      <c r="I132" s="1188"/>
      <c r="J132" s="1188"/>
      <c r="K132" s="1188"/>
      <c r="L132" s="3700" t="s">
        <v>2139</v>
      </c>
      <c r="M132" s="3688"/>
      <c r="N132" s="3688"/>
      <c r="O132" s="3683"/>
    </row>
    <row r="133" spans="2:15" ht="27.75" customHeight="1">
      <c r="D133" s="888"/>
      <c r="E133" s="546"/>
      <c r="F133" s="2901" t="s">
        <v>2196</v>
      </c>
      <c r="G133" s="1187" t="s">
        <v>2778</v>
      </c>
      <c r="H133" s="1188"/>
      <c r="I133" s="1188"/>
      <c r="J133" s="1188"/>
      <c r="K133" s="1188"/>
      <c r="L133" s="3700" t="s">
        <v>2140</v>
      </c>
      <c r="M133" s="3688"/>
      <c r="N133" s="3688"/>
      <c r="O133" s="3683"/>
    </row>
    <row r="134" spans="2:15" ht="49.5" customHeight="1">
      <c r="D134" s="888"/>
      <c r="E134" s="546"/>
      <c r="F134" s="2901" t="s">
        <v>2196</v>
      </c>
      <c r="G134" s="1187" t="s">
        <v>2779</v>
      </c>
      <c r="H134" s="1188"/>
      <c r="I134" s="1188"/>
      <c r="J134" s="1188"/>
      <c r="K134" s="1188"/>
      <c r="L134" s="3700" t="s">
        <v>2780</v>
      </c>
      <c r="M134" s="3688"/>
      <c r="N134" s="3688"/>
      <c r="O134" s="3683"/>
    </row>
    <row r="135" spans="2:15" ht="27.75" customHeight="1">
      <c r="D135" s="888"/>
      <c r="E135" s="546"/>
      <c r="F135" s="2901" t="s">
        <v>2196</v>
      </c>
      <c r="G135" s="1187" t="s">
        <v>2781</v>
      </c>
      <c r="H135" s="1188"/>
      <c r="I135" s="1188"/>
      <c r="J135" s="1188"/>
      <c r="K135" s="1188"/>
      <c r="L135" s="3700" t="s">
        <v>2782</v>
      </c>
      <c r="M135" s="3688"/>
      <c r="N135" s="3688"/>
      <c r="O135" s="3683"/>
    </row>
    <row r="136" spans="2:15" ht="27.75" customHeight="1">
      <c r="D136" s="888"/>
      <c r="E136" s="546"/>
      <c r="F136" s="2901" t="s">
        <v>2196</v>
      </c>
      <c r="G136" s="3777" t="s">
        <v>2783</v>
      </c>
      <c r="H136" s="3717"/>
      <c r="I136" s="3717"/>
      <c r="J136" s="3717"/>
      <c r="K136" s="3718"/>
      <c r="L136" s="3700" t="s">
        <v>2784</v>
      </c>
      <c r="M136" s="3688"/>
      <c r="N136" s="3688"/>
      <c r="O136" s="3683"/>
    </row>
    <row r="137" spans="2:15" ht="27.75" customHeight="1">
      <c r="D137" s="888"/>
      <c r="E137" s="546"/>
      <c r="F137" s="2901"/>
      <c r="G137" s="1187" t="s">
        <v>2141</v>
      </c>
      <c r="H137" s="1188"/>
      <c r="I137" s="1188"/>
      <c r="J137" s="1188"/>
      <c r="K137" s="1188"/>
      <c r="L137" s="3700" t="s">
        <v>1453</v>
      </c>
      <c r="M137" s="3688"/>
      <c r="N137" s="3688"/>
      <c r="O137" s="3683"/>
    </row>
    <row r="138" spans="2:15" ht="27.75" customHeight="1">
      <c r="D138" s="888"/>
      <c r="E138" s="546"/>
      <c r="F138" s="2901"/>
      <c r="G138" s="3777" t="s">
        <v>2785</v>
      </c>
      <c r="H138" s="3717"/>
      <c r="I138" s="3717"/>
      <c r="J138" s="3717"/>
      <c r="K138" s="3718"/>
      <c r="L138" s="3700" t="s">
        <v>561</v>
      </c>
      <c r="M138" s="3688"/>
      <c r="N138" s="3688"/>
      <c r="O138" s="3683"/>
    </row>
    <row r="139" spans="2:15" ht="27.75" customHeight="1">
      <c r="D139" s="888"/>
      <c r="E139" s="546"/>
      <c r="F139" s="2901"/>
      <c r="G139" s="3777" t="s">
        <v>2786</v>
      </c>
      <c r="H139" s="3717"/>
      <c r="I139" s="3717"/>
      <c r="J139" s="3717"/>
      <c r="K139" s="3718"/>
      <c r="L139" s="3700" t="s">
        <v>2787</v>
      </c>
      <c r="M139" s="3688"/>
      <c r="N139" s="3688"/>
      <c r="O139" s="3683"/>
    </row>
    <row r="140" spans="2:15" ht="27.75" customHeight="1">
      <c r="D140" s="888"/>
      <c r="E140" s="546"/>
      <c r="F140" s="2901"/>
      <c r="G140" s="1187" t="s">
        <v>392</v>
      </c>
      <c r="H140" s="1188"/>
      <c r="I140" s="1188"/>
      <c r="J140" s="1188"/>
      <c r="K140" s="1188"/>
      <c r="L140" s="3700" t="s">
        <v>2788</v>
      </c>
      <c r="M140" s="3688"/>
      <c r="N140" s="3688"/>
      <c r="O140" s="3683"/>
    </row>
    <row r="141" spans="2:15" ht="27.75" customHeight="1">
      <c r="D141" s="888"/>
      <c r="E141" s="546"/>
      <c r="F141" s="2901"/>
      <c r="G141" s="1187" t="s">
        <v>2789</v>
      </c>
      <c r="H141" s="1188"/>
      <c r="I141" s="1188"/>
      <c r="J141" s="1188"/>
      <c r="K141" s="1188"/>
      <c r="L141" s="3700" t="s">
        <v>2790</v>
      </c>
      <c r="M141" s="3688"/>
      <c r="N141" s="3688"/>
      <c r="O141" s="3683"/>
    </row>
    <row r="142" spans="2:15" ht="27.75" customHeight="1">
      <c r="D142" s="888"/>
      <c r="E142" s="546"/>
      <c r="F142" s="2901"/>
      <c r="G142" s="1187" t="s">
        <v>101</v>
      </c>
      <c r="H142" s="1188"/>
      <c r="I142" s="1188"/>
      <c r="J142" s="1188"/>
      <c r="K142" s="1188"/>
      <c r="L142" s="3700" t="s">
        <v>1328</v>
      </c>
      <c r="M142" s="3688"/>
      <c r="N142" s="3688"/>
      <c r="O142" s="3683"/>
    </row>
    <row r="143" spans="2:15" ht="27.75" customHeight="1">
      <c r="D143" s="888"/>
      <c r="E143" s="546"/>
      <c r="F143" s="2901"/>
      <c r="G143" s="1187" t="s">
        <v>1329</v>
      </c>
      <c r="H143" s="1188"/>
      <c r="I143" s="1188"/>
      <c r="J143" s="1188"/>
      <c r="K143" s="1188"/>
      <c r="L143" s="3700" t="s">
        <v>1330</v>
      </c>
      <c r="M143" s="3688"/>
      <c r="N143" s="3688"/>
      <c r="O143" s="3683"/>
    </row>
    <row r="144" spans="2:15" ht="27.75" customHeight="1" thickBot="1">
      <c r="D144" s="888"/>
      <c r="E144" s="546"/>
      <c r="F144" s="2538"/>
      <c r="G144" s="1187" t="s">
        <v>2791</v>
      </c>
      <c r="H144" s="1188"/>
      <c r="I144" s="1188"/>
      <c r="J144" s="1188"/>
      <c r="K144" s="1188"/>
      <c r="L144" s="3700" t="s">
        <v>2792</v>
      </c>
      <c r="M144" s="3688"/>
      <c r="N144" s="3688"/>
      <c r="O144" s="3683"/>
    </row>
    <row r="145" spans="2:15" ht="15.75">
      <c r="D145" s="888"/>
      <c r="E145" s="546"/>
      <c r="F145" s="3028" t="s">
        <v>32</v>
      </c>
      <c r="G145" s="3029">
        <f>COUNTIF(F132:F144,$S$3)</f>
        <v>4</v>
      </c>
      <c r="H145" s="1189"/>
      <c r="I145" s="1189"/>
      <c r="J145" s="1172"/>
      <c r="K145" s="1172"/>
      <c r="L145" s="1172"/>
      <c r="M145" s="1172"/>
      <c r="N145" s="1173"/>
      <c r="O145" s="1182"/>
    </row>
    <row r="146" spans="2:15" hidden="1">
      <c r="F146" s="1143"/>
      <c r="G146" s="1143"/>
      <c r="H146" s="1143"/>
      <c r="I146" s="1143"/>
      <c r="J146" s="1143"/>
      <c r="K146" s="1143"/>
      <c r="L146" s="1143"/>
      <c r="M146" s="1143"/>
      <c r="N146" s="1143"/>
      <c r="O146" s="1143"/>
    </row>
    <row r="147" spans="2:15" hidden="1">
      <c r="B147" s="1190" t="s">
        <v>562</v>
      </c>
      <c r="F147" s="1137" t="s">
        <v>2203</v>
      </c>
      <c r="G147" s="975"/>
      <c r="H147" s="1158"/>
      <c r="I147" s="1159"/>
      <c r="J147" s="1159"/>
      <c r="K147" s="975"/>
      <c r="L147" s="1143"/>
      <c r="M147" s="1143"/>
      <c r="N147" s="975"/>
      <c r="O147" s="1143"/>
    </row>
    <row r="148" spans="2:15" hidden="1">
      <c r="F148" s="1191" t="s">
        <v>1331</v>
      </c>
      <c r="G148" s="3780" t="s">
        <v>563</v>
      </c>
      <c r="H148" s="3781"/>
      <c r="I148" s="3782" t="s">
        <v>2793</v>
      </c>
      <c r="J148" s="3782"/>
      <c r="K148" s="3782"/>
      <c r="L148" s="3782"/>
      <c r="M148" s="3782"/>
      <c r="N148" s="975"/>
      <c r="O148" s="1143"/>
    </row>
    <row r="149" spans="2:15" hidden="1">
      <c r="F149" s="1191" t="s">
        <v>1332</v>
      </c>
      <c r="G149" s="3780" t="s">
        <v>1665</v>
      </c>
      <c r="H149" s="3781"/>
      <c r="I149" s="3782" t="s">
        <v>2794</v>
      </c>
      <c r="J149" s="3782"/>
      <c r="K149" s="3782"/>
      <c r="L149" s="3782"/>
      <c r="M149" s="3782"/>
      <c r="N149" s="975"/>
      <c r="O149" s="1143"/>
    </row>
    <row r="150" spans="2:15" ht="14.25" hidden="1" thickBot="1">
      <c r="F150" s="1191" t="s">
        <v>1333</v>
      </c>
      <c r="G150" s="3780" t="s">
        <v>547</v>
      </c>
      <c r="H150" s="3781"/>
      <c r="I150" s="3782" t="s">
        <v>2795</v>
      </c>
      <c r="J150" s="3782"/>
      <c r="K150" s="3782"/>
      <c r="L150" s="3782"/>
      <c r="M150" s="3782"/>
      <c r="N150" s="975"/>
      <c r="O150" s="1143"/>
    </row>
    <row r="151" spans="2:15" ht="14.25" hidden="1" thickBot="1">
      <c r="B151" s="1094" t="s">
        <v>614</v>
      </c>
      <c r="F151" s="975" t="s">
        <v>2441</v>
      </c>
      <c r="G151" s="2421"/>
      <c r="H151" s="2421"/>
      <c r="I151" s="3843" t="s">
        <v>1523</v>
      </c>
      <c r="J151" s="3844"/>
      <c r="K151" s="3845"/>
      <c r="L151" s="1159" t="s">
        <v>2471</v>
      </c>
      <c r="M151" s="1159"/>
      <c r="N151" s="975"/>
      <c r="O151" s="2421"/>
    </row>
    <row r="152" spans="2:15" ht="14.25" hidden="1" thickBot="1">
      <c r="F152" s="1140">
        <f>IF(H131=$T$4,F131,ROUND(IF(G164&lt;=1,2,IF(G164&lt;=4,3,IF(G164&lt;=8,4,IF(G164&gt;=9,5)))),0))</f>
        <v>3</v>
      </c>
      <c r="G152" s="576" t="s">
        <v>1434</v>
      </c>
      <c r="H152" s="576" t="s">
        <v>2472</v>
      </c>
      <c r="I152" s="1141"/>
      <c r="J152" s="1141"/>
      <c r="K152" s="1199" t="s">
        <v>1435</v>
      </c>
      <c r="L152" s="576" t="s">
        <v>2472</v>
      </c>
      <c r="M152" s="1141"/>
      <c r="N152" s="1141"/>
      <c r="O152" s="1068" t="s">
        <v>1435</v>
      </c>
    </row>
    <row r="153" spans="2:15" ht="13.5" hidden="1" customHeight="1">
      <c r="F153" s="1183">
        <v>1</v>
      </c>
      <c r="G153" s="576" t="s">
        <v>287</v>
      </c>
      <c r="H153" s="3757" t="s">
        <v>2796</v>
      </c>
      <c r="I153" s="3778"/>
      <c r="J153" s="3779"/>
      <c r="K153" s="1199">
        <v>1</v>
      </c>
      <c r="L153" s="3757" t="s">
        <v>2473</v>
      </c>
      <c r="M153" s="3778"/>
      <c r="N153" s="3779"/>
      <c r="O153" s="2422">
        <v>1</v>
      </c>
    </row>
    <row r="154" spans="2:15" ht="13.5" hidden="1" customHeight="1">
      <c r="F154" s="1184">
        <v>3</v>
      </c>
      <c r="G154" s="1192" t="s">
        <v>288</v>
      </c>
      <c r="H154" s="3759" t="s">
        <v>2474</v>
      </c>
      <c r="I154" s="3760"/>
      <c r="J154" s="3761"/>
      <c r="K154" s="1179">
        <v>3</v>
      </c>
      <c r="L154" s="3754" t="s">
        <v>2475</v>
      </c>
      <c r="M154" s="3760"/>
      <c r="N154" s="3761"/>
      <c r="O154" s="1303" t="s">
        <v>2475</v>
      </c>
    </row>
    <row r="155" spans="2:15" ht="13.5" hidden="1" customHeight="1">
      <c r="F155" s="1184">
        <v>0</v>
      </c>
      <c r="G155" s="1193"/>
      <c r="H155" s="3754" t="s">
        <v>2476</v>
      </c>
      <c r="I155" s="3760"/>
      <c r="J155" s="3761"/>
      <c r="K155" s="1179">
        <v>3</v>
      </c>
      <c r="L155" s="3754" t="s">
        <v>2475</v>
      </c>
      <c r="M155" s="3760"/>
      <c r="N155" s="3761"/>
      <c r="O155" s="1179" t="s">
        <v>2475</v>
      </c>
    </row>
    <row r="156" spans="2:15" ht="13.5" hidden="1" customHeight="1">
      <c r="F156" s="1184">
        <v>2</v>
      </c>
      <c r="G156" s="1193"/>
      <c r="H156" s="3754" t="s">
        <v>2475</v>
      </c>
      <c r="I156" s="3760"/>
      <c r="J156" s="3761"/>
      <c r="K156" s="1179" t="s">
        <v>2475</v>
      </c>
      <c r="L156" s="3754" t="s">
        <v>2797</v>
      </c>
      <c r="M156" s="3760"/>
      <c r="N156" s="3761"/>
      <c r="O156" s="1179">
        <v>2</v>
      </c>
    </row>
    <row r="157" spans="2:15" ht="13.5" hidden="1" customHeight="1">
      <c r="F157" s="1184">
        <v>0</v>
      </c>
      <c r="G157" s="1194"/>
      <c r="H157" s="3757" t="s">
        <v>2475</v>
      </c>
      <c r="I157" s="3778"/>
      <c r="J157" s="3779"/>
      <c r="K157" s="1199" t="s">
        <v>2475</v>
      </c>
      <c r="L157" s="3757" t="s">
        <v>2477</v>
      </c>
      <c r="M157" s="3778"/>
      <c r="N157" s="3779"/>
      <c r="O157" s="1199">
        <v>1</v>
      </c>
    </row>
    <row r="158" spans="2:15" ht="13.5" hidden="1" customHeight="1">
      <c r="F158" s="1184">
        <v>0</v>
      </c>
      <c r="G158" s="1192" t="s">
        <v>289</v>
      </c>
      <c r="H158" s="3816" t="s">
        <v>2798</v>
      </c>
      <c r="I158" s="3817"/>
      <c r="J158" s="3818"/>
      <c r="K158" s="1303">
        <v>1</v>
      </c>
      <c r="L158" s="3816" t="s">
        <v>2799</v>
      </c>
      <c r="M158" s="3817"/>
      <c r="N158" s="3818"/>
      <c r="O158" s="1303">
        <v>1</v>
      </c>
    </row>
    <row r="159" spans="2:15" ht="13.5" hidden="1" customHeight="1">
      <c r="F159" s="1184">
        <v>0</v>
      </c>
      <c r="G159" s="1193"/>
      <c r="H159" s="3754" t="s">
        <v>2800</v>
      </c>
      <c r="I159" s="3760"/>
      <c r="J159" s="3761"/>
      <c r="K159" s="1179">
        <v>2</v>
      </c>
      <c r="L159" s="3754" t="s">
        <v>2478</v>
      </c>
      <c r="M159" s="3760"/>
      <c r="N159" s="3761"/>
      <c r="O159" s="1179">
        <v>2</v>
      </c>
    </row>
    <row r="160" spans="2:15" ht="13.5" hidden="1" customHeight="1">
      <c r="F160" s="1184">
        <v>1</v>
      </c>
      <c r="G160" s="1194"/>
      <c r="H160" s="3757" t="s">
        <v>2475</v>
      </c>
      <c r="I160" s="3778"/>
      <c r="J160" s="3779"/>
      <c r="K160" s="1199">
        <v>1</v>
      </c>
      <c r="L160" s="3757" t="s">
        <v>2801</v>
      </c>
      <c r="M160" s="3778"/>
      <c r="N160" s="3779"/>
      <c r="O160" s="1199">
        <v>1</v>
      </c>
    </row>
    <row r="161" spans="2:15" ht="13.5" hidden="1" customHeight="1">
      <c r="F161" s="1184">
        <v>0</v>
      </c>
      <c r="G161" s="1192" t="s">
        <v>1436</v>
      </c>
      <c r="H161" s="3816" t="s">
        <v>456</v>
      </c>
      <c r="I161" s="3817"/>
      <c r="J161" s="3818"/>
      <c r="K161" s="1303">
        <v>1</v>
      </c>
      <c r="L161" s="3816" t="s">
        <v>2479</v>
      </c>
      <c r="M161" s="3817"/>
      <c r="N161" s="3818"/>
      <c r="O161" s="1303">
        <v>1</v>
      </c>
    </row>
    <row r="162" spans="2:15" ht="13.5" hidden="1" customHeight="1">
      <c r="F162" s="1184">
        <v>0</v>
      </c>
      <c r="G162" s="1194"/>
      <c r="H162" s="3757" t="s">
        <v>2475</v>
      </c>
      <c r="I162" s="3778"/>
      <c r="J162" s="3779"/>
      <c r="K162" s="1199">
        <v>1</v>
      </c>
      <c r="L162" s="3757" t="s">
        <v>2480</v>
      </c>
      <c r="M162" s="3778"/>
      <c r="N162" s="3779"/>
      <c r="O162" s="1199">
        <v>1</v>
      </c>
    </row>
    <row r="163" spans="2:15" ht="14.25" hidden="1" customHeight="1" thickBot="1">
      <c r="F163" s="1185">
        <v>0</v>
      </c>
      <c r="G163" s="576" t="s">
        <v>457</v>
      </c>
      <c r="H163" s="3757" t="s">
        <v>458</v>
      </c>
      <c r="I163" s="3778"/>
      <c r="J163" s="3779"/>
      <c r="K163" s="2420">
        <v>2</v>
      </c>
      <c r="L163" s="3757" t="s">
        <v>2802</v>
      </c>
      <c r="M163" s="3778"/>
      <c r="N163" s="3779"/>
      <c r="O163" s="2423">
        <v>2</v>
      </c>
    </row>
    <row r="164" spans="2:15" ht="14.25" hidden="1">
      <c r="F164" s="1170" t="s">
        <v>2481</v>
      </c>
      <c r="G164" s="3033">
        <f>IF($I$151=$V$4,SUM(F153:F155,F158:F159,F161,F163),SUM(F153,F156:F163))</f>
        <v>4</v>
      </c>
      <c r="H164" s="3032" t="s">
        <v>3825</v>
      </c>
      <c r="I164" s="2415"/>
      <c r="J164" s="2419"/>
      <c r="K164" s="1182"/>
      <c r="L164" s="1173"/>
      <c r="M164" s="2419"/>
      <c r="N164" s="1173"/>
      <c r="O164" s="1182"/>
    </row>
    <row r="165" spans="2:15" hidden="1">
      <c r="F165" s="1095" t="s">
        <v>382</v>
      </c>
      <c r="G165" s="1096"/>
      <c r="H165" s="1096"/>
      <c r="I165" s="1096"/>
      <c r="J165" s="1096"/>
      <c r="K165" s="1096"/>
      <c r="L165" s="1096"/>
      <c r="M165" s="1096"/>
      <c r="N165" s="1096"/>
      <c r="O165" s="1143"/>
    </row>
    <row r="166" spans="2:15" hidden="1">
      <c r="F166" s="1097" t="s">
        <v>2361</v>
      </c>
      <c r="G166" s="1098"/>
      <c r="H166" s="1097" t="s">
        <v>459</v>
      </c>
      <c r="I166" s="1098"/>
      <c r="J166" s="1098"/>
      <c r="K166" s="1098"/>
      <c r="L166" s="1098"/>
      <c r="M166" s="1098"/>
      <c r="N166" s="1099"/>
      <c r="O166" s="1143"/>
    </row>
    <row r="167" spans="2:15" hidden="1">
      <c r="F167" s="1097" t="s">
        <v>2482</v>
      </c>
      <c r="G167" s="1098"/>
      <c r="H167" s="1097" t="s">
        <v>2483</v>
      </c>
      <c r="I167" s="1098"/>
      <c r="J167" s="1098"/>
      <c r="K167" s="1098"/>
      <c r="L167" s="1098"/>
      <c r="M167" s="1098"/>
      <c r="N167" s="1099"/>
      <c r="O167" s="1143"/>
    </row>
    <row r="168" spans="2:15" hidden="1">
      <c r="F168" s="2424" t="s">
        <v>460</v>
      </c>
      <c r="G168" s="2425"/>
      <c r="H168" s="3835" t="s">
        <v>2484</v>
      </c>
      <c r="I168" s="3836"/>
      <c r="J168" s="3780" t="s">
        <v>2803</v>
      </c>
      <c r="K168" s="3794"/>
      <c r="L168" s="3794"/>
      <c r="M168" s="3794"/>
      <c r="N168" s="3781"/>
      <c r="O168" s="1143"/>
    </row>
    <row r="169" spans="2:15" hidden="1">
      <c r="F169" s="2426"/>
      <c r="G169" s="2427"/>
      <c r="H169" s="3780" t="s">
        <v>2485</v>
      </c>
      <c r="I169" s="3781"/>
      <c r="J169" s="3780" t="s">
        <v>2486</v>
      </c>
      <c r="K169" s="3837"/>
      <c r="L169" s="3837"/>
      <c r="M169" s="3837"/>
      <c r="N169" s="3838"/>
      <c r="O169" s="1143"/>
    </row>
    <row r="170" spans="2:15" hidden="1">
      <c r="F170" s="1097" t="s">
        <v>461</v>
      </c>
      <c r="G170" s="1098"/>
      <c r="H170" s="2428" t="s">
        <v>2487</v>
      </c>
      <c r="I170" s="1097"/>
      <c r="J170" s="1098"/>
      <c r="K170" s="1098"/>
      <c r="L170" s="1098"/>
      <c r="M170" s="1098"/>
      <c r="N170" s="1099"/>
      <c r="O170" s="1143"/>
    </row>
    <row r="171" spans="2:15" ht="13.5" hidden="1" customHeight="1">
      <c r="F171" s="1097" t="s">
        <v>462</v>
      </c>
      <c r="G171" s="1098"/>
      <c r="H171" s="2428" t="s">
        <v>2488</v>
      </c>
      <c r="I171" s="1097"/>
      <c r="J171" s="1098"/>
      <c r="K171" s="1098"/>
      <c r="L171" s="1098"/>
      <c r="M171" s="1098"/>
      <c r="N171" s="1099"/>
      <c r="O171" s="1143"/>
    </row>
    <row r="172" spans="2:15" s="2413" customFormat="1" hidden="1">
      <c r="D172" s="2307"/>
      <c r="E172" s="140"/>
      <c r="F172" s="1097" t="s">
        <v>463</v>
      </c>
      <c r="G172" s="2429"/>
      <c r="H172" s="3780" t="s">
        <v>2489</v>
      </c>
      <c r="I172" s="3794"/>
      <c r="J172" s="3794"/>
      <c r="K172" s="3794"/>
      <c r="L172" s="3794"/>
      <c r="M172" s="3794"/>
      <c r="N172" s="3781"/>
      <c r="O172" s="1143"/>
    </row>
    <row r="173" spans="2:15" ht="15.75">
      <c r="D173" s="888"/>
      <c r="E173" s="546"/>
      <c r="F173" s="1096"/>
      <c r="G173" s="975"/>
      <c r="H173" s="975"/>
      <c r="I173" s="975"/>
      <c r="J173" s="975"/>
      <c r="K173" s="1020"/>
      <c r="L173" s="1020"/>
      <c r="M173" s="942"/>
      <c r="N173" s="942"/>
      <c r="O173" s="942"/>
    </row>
    <row r="174" spans="2:15" ht="15.75">
      <c r="B174" s="1094" t="s">
        <v>614</v>
      </c>
      <c r="D174" s="888"/>
      <c r="E174" s="546"/>
      <c r="F174" s="1064" t="s">
        <v>464</v>
      </c>
      <c r="G174" s="976"/>
      <c r="H174" s="1025"/>
      <c r="I174" s="1005"/>
      <c r="J174" s="979" t="str">
        <f>IF(OR(F176=0,J175=0),$R$3,"")</f>
        <v>&lt;評価しない&gt;</v>
      </c>
      <c r="K174" s="1143"/>
      <c r="L174" s="1143"/>
      <c r="M174" s="1143"/>
      <c r="N174" s="942"/>
      <c r="O174" s="942"/>
    </row>
    <row r="175" spans="2:15" ht="16.5" hidden="1" thickBot="1">
      <c r="D175" s="888"/>
      <c r="E175" s="546"/>
      <c r="F175" s="1045"/>
      <c r="G175" s="904"/>
      <c r="H175" s="2430"/>
      <c r="I175" s="906" t="s">
        <v>1121</v>
      </c>
      <c r="J175" s="907">
        <f>重み!M77</f>
        <v>0</v>
      </c>
      <c r="K175" s="1046"/>
      <c r="L175" s="906" t="s">
        <v>1091</v>
      </c>
      <c r="M175" s="1144">
        <f>メイン!$J$66</f>
        <v>20320</v>
      </c>
      <c r="N175" s="2431"/>
      <c r="O175" s="2432"/>
    </row>
    <row r="176" spans="2:15" ht="16.5" hidden="1" thickBot="1">
      <c r="D176" s="1388"/>
      <c r="E176" s="1123"/>
      <c r="F176" s="980">
        <f>IF(J175=0,0,F184)</f>
        <v>0</v>
      </c>
      <c r="G176" s="1026" t="s">
        <v>739</v>
      </c>
      <c r="H176" s="915"/>
      <c r="I176" s="915"/>
      <c r="J176" s="916"/>
      <c r="K176" s="915"/>
      <c r="L176" s="915"/>
      <c r="M176" s="915"/>
      <c r="N176" s="1148" t="s">
        <v>1092</v>
      </c>
      <c r="O176" s="1031"/>
    </row>
    <row r="177" spans="2:15" ht="15.75" hidden="1" customHeight="1">
      <c r="D177" s="888"/>
      <c r="E177" s="898"/>
      <c r="F177" s="917" t="str">
        <f>IF(F176=$S$15,$T$10,IF(ROUNDDOWN(F176,0)=$S$10,$U$10,$T$10))</f>
        <v>　レベル　1</v>
      </c>
      <c r="G177" s="1149" t="s">
        <v>2490</v>
      </c>
      <c r="H177" s="1150"/>
      <c r="I177" s="1150"/>
      <c r="J177" s="1150"/>
      <c r="K177" s="1150"/>
      <c r="L177" s="1150"/>
      <c r="M177" s="1150"/>
      <c r="N177" s="3788" t="s">
        <v>2804</v>
      </c>
      <c r="O177" s="3813"/>
    </row>
    <row r="178" spans="2:15" ht="15.75" hidden="1">
      <c r="D178" s="888"/>
      <c r="E178" s="898"/>
      <c r="F178" s="922" t="str">
        <f>IF(F176=$S$15,$T$11,IF(ROUNDDOWN(F176,0)=$S$11,$U$11,$T$11))</f>
        <v>　レベル　2</v>
      </c>
      <c r="G178" s="2416" t="s">
        <v>2491</v>
      </c>
      <c r="H178" s="2417"/>
      <c r="I178" s="2417"/>
      <c r="J178" s="2417"/>
      <c r="K178" s="2417"/>
      <c r="L178" s="2417"/>
      <c r="M178" s="2417"/>
      <c r="N178" s="3833"/>
      <c r="O178" s="3813"/>
    </row>
    <row r="179" spans="2:15" ht="15.75" hidden="1">
      <c r="D179" s="888"/>
      <c r="E179" s="898"/>
      <c r="F179" s="922" t="str">
        <f>IF(F176=$S$15,$T$12,IF(ROUNDDOWN(F176,0)=$S$12,$U$12,$T$12))</f>
        <v>　レベル　3</v>
      </c>
      <c r="G179" s="2416" t="s">
        <v>740</v>
      </c>
      <c r="H179" s="2417"/>
      <c r="I179" s="2417"/>
      <c r="J179" s="2417"/>
      <c r="K179" s="2417"/>
      <c r="L179" s="2417"/>
      <c r="M179" s="2417"/>
      <c r="N179" s="3833"/>
      <c r="O179" s="3813"/>
    </row>
    <row r="180" spans="2:15" ht="15.75" hidden="1">
      <c r="D180" s="888"/>
      <c r="E180" s="898"/>
      <c r="F180" s="922" t="str">
        <f>IF(F176=$S$15,$T$13,IF(ROUNDDOWN(F176,0)=$S$13,$U$13,$T$13))</f>
        <v>　レベル　4</v>
      </c>
      <c r="G180" s="1152" t="s">
        <v>741</v>
      </c>
      <c r="H180" s="2417"/>
      <c r="I180" s="2417"/>
      <c r="J180" s="2417"/>
      <c r="K180" s="2417"/>
      <c r="L180" s="2417"/>
      <c r="M180" s="2417"/>
      <c r="N180" s="3833"/>
      <c r="O180" s="3813"/>
    </row>
    <row r="181" spans="2:15" ht="16.5" hidden="1" thickBot="1">
      <c r="D181" s="888"/>
      <c r="E181" s="898"/>
      <c r="F181" s="933" t="str">
        <f>IF(F176=$S$15,$T$14,IF(ROUNDDOWN(F176,0)=$S$14,$U$14,$T$14))</f>
        <v>　レベル　5</v>
      </c>
      <c r="G181" s="1155" t="s">
        <v>742</v>
      </c>
      <c r="H181" s="1156"/>
      <c r="I181" s="1156"/>
      <c r="J181" s="1156"/>
      <c r="K181" s="1156"/>
      <c r="L181" s="1156"/>
      <c r="M181" s="1156"/>
      <c r="N181" s="3834"/>
      <c r="O181" s="3815"/>
    </row>
    <row r="182" spans="2:15" ht="16.5" hidden="1" thickBot="1">
      <c r="D182" s="888"/>
      <c r="E182" s="898"/>
      <c r="F182" s="910">
        <v>0</v>
      </c>
      <c r="G182" s="3034" t="s">
        <v>2193</v>
      </c>
      <c r="H182" s="1139" t="s">
        <v>3822</v>
      </c>
      <c r="I182" s="942"/>
      <c r="J182" s="3035"/>
      <c r="K182" s="3036"/>
      <c r="L182" s="3035"/>
      <c r="M182" s="3035"/>
      <c r="N182" s="3037"/>
      <c r="O182" s="3036"/>
    </row>
    <row r="183" spans="2:15" ht="16.5" hidden="1" thickBot="1">
      <c r="D183" s="888"/>
      <c r="E183" s="898"/>
      <c r="F183" s="1137" t="s">
        <v>2203</v>
      </c>
      <c r="G183" s="1195"/>
      <c r="H183" s="1195"/>
      <c r="I183" s="1096"/>
      <c r="J183" s="1195"/>
      <c r="K183" s="1195"/>
      <c r="L183" s="1195"/>
      <c r="M183" s="1195"/>
      <c r="N183" s="1195"/>
      <c r="O183" s="1195"/>
    </row>
    <row r="184" spans="2:15" ht="16.5" hidden="1" thickBot="1">
      <c r="B184" s="1">
        <v>1</v>
      </c>
      <c r="C184" s="1">
        <v>1</v>
      </c>
      <c r="D184" s="888"/>
      <c r="E184" s="898"/>
      <c r="F184" s="1140">
        <f>IF(H182=$T$4,F182,IF(SUM(F185,F188,F191)&lt;0,2,ROUND((IF(G194=0,3,IF(G194&lt;=2,4,5))),0)))</f>
        <v>3</v>
      </c>
      <c r="G184" s="1141" t="s">
        <v>1434</v>
      </c>
      <c r="H184" s="1141"/>
      <c r="I184" s="576" t="s">
        <v>286</v>
      </c>
      <c r="J184" s="1141"/>
      <c r="K184" s="1141"/>
      <c r="L184" s="576" t="s">
        <v>1078</v>
      </c>
      <c r="M184" s="1141"/>
      <c r="N184" s="1141"/>
      <c r="O184" s="1175" t="s">
        <v>1334</v>
      </c>
    </row>
    <row r="185" spans="2:15" ht="15.75" hidden="1" customHeight="1">
      <c r="B185" s="1">
        <v>2</v>
      </c>
      <c r="C185" s="1">
        <v>2</v>
      </c>
      <c r="D185" s="888"/>
      <c r="E185" s="898"/>
      <c r="F185" s="1196">
        <v>0</v>
      </c>
      <c r="G185" s="3800" t="s">
        <v>743</v>
      </c>
      <c r="H185" s="3801"/>
      <c r="I185" s="3816" t="s">
        <v>744</v>
      </c>
      <c r="J185" s="3817"/>
      <c r="K185" s="3818"/>
      <c r="L185" s="3816" t="s">
        <v>1335</v>
      </c>
      <c r="M185" s="3817"/>
      <c r="N185" s="3818"/>
      <c r="O185" s="1197" t="s">
        <v>1336</v>
      </c>
    </row>
    <row r="186" spans="2:15" ht="15.75" hidden="1" customHeight="1">
      <c r="B186" s="1">
        <v>3</v>
      </c>
      <c r="C186" s="1">
        <v>3</v>
      </c>
      <c r="D186" s="888"/>
      <c r="E186" s="898"/>
      <c r="F186" s="3798">
        <v>0</v>
      </c>
      <c r="G186" s="3802"/>
      <c r="H186" s="3803"/>
      <c r="I186" s="3754" t="s">
        <v>2805</v>
      </c>
      <c r="J186" s="3760"/>
      <c r="K186" s="3761"/>
      <c r="L186" s="3754" t="s">
        <v>2806</v>
      </c>
      <c r="M186" s="3760"/>
      <c r="N186" s="3761"/>
      <c r="O186" s="1198">
        <v>0</v>
      </c>
    </row>
    <row r="187" spans="2:15" ht="15.75" hidden="1" customHeight="1">
      <c r="B187" s="1">
        <v>4</v>
      </c>
      <c r="C187" s="1">
        <v>4</v>
      </c>
      <c r="D187" s="888"/>
      <c r="E187" s="898"/>
      <c r="F187" s="3799"/>
      <c r="G187" s="3804"/>
      <c r="H187" s="3805"/>
      <c r="I187" s="3757" t="s">
        <v>2807</v>
      </c>
      <c r="J187" s="3778"/>
      <c r="K187" s="3779"/>
      <c r="L187" s="3757" t="s">
        <v>2808</v>
      </c>
      <c r="M187" s="3778"/>
      <c r="N187" s="3779"/>
      <c r="O187" s="1199">
        <v>1</v>
      </c>
    </row>
    <row r="188" spans="2:15" ht="15.75" hidden="1" customHeight="1">
      <c r="B188" s="1">
        <v>5</v>
      </c>
      <c r="C188" s="1">
        <v>5</v>
      </c>
      <c r="D188" s="888"/>
      <c r="E188" s="898"/>
      <c r="F188" s="1200">
        <v>0</v>
      </c>
      <c r="G188" s="3800" t="s">
        <v>745</v>
      </c>
      <c r="H188" s="3801"/>
      <c r="I188" s="3816" t="s">
        <v>746</v>
      </c>
      <c r="J188" s="3817"/>
      <c r="K188" s="3818"/>
      <c r="L188" s="3816" t="s">
        <v>220</v>
      </c>
      <c r="M188" s="3817"/>
      <c r="N188" s="3818"/>
      <c r="O188" s="1197" t="s">
        <v>1336</v>
      </c>
    </row>
    <row r="189" spans="2:15" ht="15.75" hidden="1" customHeight="1">
      <c r="B189" s="940">
        <v>0</v>
      </c>
      <c r="C189" s="940">
        <v>0</v>
      </c>
      <c r="D189" s="888"/>
      <c r="E189" s="898"/>
      <c r="F189" s="3798">
        <v>0</v>
      </c>
      <c r="G189" s="3802"/>
      <c r="H189" s="3803"/>
      <c r="I189" s="3754" t="s">
        <v>2809</v>
      </c>
      <c r="J189" s="3760"/>
      <c r="K189" s="3761"/>
      <c r="L189" s="3754" t="s">
        <v>2810</v>
      </c>
      <c r="M189" s="3760"/>
      <c r="N189" s="3761"/>
      <c r="O189" s="1198">
        <v>0</v>
      </c>
    </row>
    <row r="190" spans="2:15" ht="15.75" hidden="1" customHeight="1">
      <c r="D190" s="888"/>
      <c r="E190" s="898"/>
      <c r="F190" s="3799"/>
      <c r="G190" s="3804"/>
      <c r="H190" s="3805"/>
      <c r="I190" s="3757" t="s">
        <v>2807</v>
      </c>
      <c r="J190" s="3778"/>
      <c r="K190" s="3779"/>
      <c r="L190" s="3757" t="s">
        <v>2811</v>
      </c>
      <c r="M190" s="3778"/>
      <c r="N190" s="3779"/>
      <c r="O190" s="1199">
        <v>1</v>
      </c>
    </row>
    <row r="191" spans="2:15" ht="15.75" hidden="1" customHeight="1">
      <c r="D191" s="888"/>
      <c r="E191" s="898"/>
      <c r="F191" s="1200">
        <v>0</v>
      </c>
      <c r="G191" s="3810" t="s">
        <v>272</v>
      </c>
      <c r="H191" s="3811"/>
      <c r="I191" s="3816" t="s">
        <v>273</v>
      </c>
      <c r="J191" s="3817"/>
      <c r="K191" s="3818"/>
      <c r="L191" s="3816" t="s">
        <v>2398</v>
      </c>
      <c r="M191" s="3817"/>
      <c r="N191" s="3818"/>
      <c r="O191" s="1197" t="s">
        <v>1336</v>
      </c>
    </row>
    <row r="192" spans="2:15" ht="15.75" hidden="1" customHeight="1">
      <c r="D192" s="888"/>
      <c r="E192" s="898"/>
      <c r="F192" s="3798">
        <v>0</v>
      </c>
      <c r="G192" s="3812"/>
      <c r="H192" s="3813"/>
      <c r="I192" s="3754" t="s">
        <v>274</v>
      </c>
      <c r="J192" s="3760"/>
      <c r="K192" s="3761"/>
      <c r="L192" s="3754" t="s">
        <v>2812</v>
      </c>
      <c r="M192" s="3760"/>
      <c r="N192" s="3761"/>
      <c r="O192" s="1179">
        <v>0</v>
      </c>
    </row>
    <row r="193" spans="2:15" ht="16.5" hidden="1" customHeight="1" thickBot="1">
      <c r="D193" s="888"/>
      <c r="E193" s="898"/>
      <c r="F193" s="3809"/>
      <c r="G193" s="3814"/>
      <c r="H193" s="3815"/>
      <c r="I193" s="3757" t="s">
        <v>2807</v>
      </c>
      <c r="J193" s="3778"/>
      <c r="K193" s="3779"/>
      <c r="L193" s="3757" t="s">
        <v>2813</v>
      </c>
      <c r="M193" s="3778"/>
      <c r="N193" s="3779"/>
      <c r="O193" s="2420">
        <v>1</v>
      </c>
    </row>
    <row r="194" spans="2:15" ht="15.75" hidden="1">
      <c r="D194" s="888"/>
      <c r="E194" s="898"/>
      <c r="F194" s="1170" t="s">
        <v>105</v>
      </c>
      <c r="G194" s="3033">
        <f>SUM(F185:F193)</f>
        <v>0</v>
      </c>
      <c r="H194" s="3032" t="s">
        <v>3826</v>
      </c>
      <c r="I194" s="2415"/>
      <c r="J194" s="2419"/>
      <c r="K194" s="2419"/>
      <c r="L194" s="1173"/>
      <c r="M194" s="2419"/>
      <c r="N194" s="1173"/>
      <c r="O194" s="1182"/>
    </row>
    <row r="195" spans="2:15" ht="15.75">
      <c r="D195" s="888"/>
      <c r="E195" s="898"/>
      <c r="F195" s="1096"/>
      <c r="G195" s="1201"/>
      <c r="H195" s="975"/>
      <c r="I195" s="1158"/>
      <c r="J195" s="1159"/>
      <c r="K195" s="1159"/>
      <c r="L195" s="975"/>
      <c r="M195" s="975"/>
      <c r="N195" s="975"/>
      <c r="O195" s="975"/>
    </row>
    <row r="196" spans="2:15" ht="15.75">
      <c r="D196" s="1311">
        <v>2</v>
      </c>
      <c r="E196" s="1123" t="s">
        <v>275</v>
      </c>
      <c r="F196" s="1132"/>
      <c r="G196" s="1133"/>
      <c r="H196" s="1133"/>
      <c r="I196" s="1133"/>
      <c r="J196" s="1133"/>
      <c r="K196" s="1132"/>
      <c r="L196" s="1132"/>
      <c r="M196" s="1132"/>
      <c r="N196" s="1132"/>
      <c r="O196" s="1132"/>
    </row>
    <row r="197" spans="2:15" ht="15.75">
      <c r="D197" s="1311">
        <v>2.1</v>
      </c>
      <c r="E197" s="1123" t="s">
        <v>3741</v>
      </c>
      <c r="F197" s="1132"/>
      <c r="G197" s="1023"/>
      <c r="H197" s="1133"/>
      <c r="I197" s="1143"/>
      <c r="J197" s="1133"/>
      <c r="K197" s="1132"/>
      <c r="L197" s="1202"/>
      <c r="M197" s="1132"/>
      <c r="N197" s="1132"/>
      <c r="O197" s="1132"/>
    </row>
    <row r="198" spans="2:15" ht="15.75">
      <c r="D198" s="888"/>
      <c r="E198" s="893"/>
      <c r="F198" s="1064" t="s">
        <v>3827</v>
      </c>
      <c r="G198" s="976"/>
      <c r="H198" s="1025"/>
      <c r="I198" s="1005"/>
      <c r="J198" s="979" t="str">
        <f>IF(OR(F200=0,J199=0),$R$3,"")</f>
        <v/>
      </c>
      <c r="K198" s="1064" t="s">
        <v>3828</v>
      </c>
      <c r="L198" s="976"/>
      <c r="M198" s="1025"/>
      <c r="N198" s="1005"/>
      <c r="O198" s="979" t="str">
        <f>IF(OR(K200=0,O199=0),$R$3,"")</f>
        <v/>
      </c>
    </row>
    <row r="199" spans="2:15" ht="16.5" thickBot="1">
      <c r="D199" s="888"/>
      <c r="E199" s="893"/>
      <c r="F199" s="903"/>
      <c r="G199" s="904"/>
      <c r="H199" s="905"/>
      <c r="I199" s="906" t="s">
        <v>1121</v>
      </c>
      <c r="J199" s="909">
        <f>重み!M80</f>
        <v>0.8</v>
      </c>
      <c r="K199" s="903"/>
      <c r="L199" s="904"/>
      <c r="M199" s="905"/>
      <c r="N199" s="906" t="s">
        <v>1121</v>
      </c>
      <c r="O199" s="909">
        <f>重み!M81</f>
        <v>0.2</v>
      </c>
    </row>
    <row r="200" spans="2:15" ht="16.5" thickBot="1">
      <c r="D200" s="888"/>
      <c r="E200" s="893"/>
      <c r="F200" s="910">
        <v>3</v>
      </c>
      <c r="G200" s="2264" t="s">
        <v>24</v>
      </c>
      <c r="H200" s="915"/>
      <c r="I200" s="1026" t="s">
        <v>378</v>
      </c>
      <c r="J200" s="916"/>
      <c r="K200" s="910">
        <v>3</v>
      </c>
      <c r="L200" s="1026" t="s">
        <v>1243</v>
      </c>
      <c r="M200" s="916"/>
      <c r="N200" s="1026"/>
      <c r="O200" s="1031"/>
    </row>
    <row r="201" spans="2:15" ht="16.5" customHeight="1">
      <c r="B201" s="1127" t="s">
        <v>1246</v>
      </c>
      <c r="C201" s="1" t="s">
        <v>1246</v>
      </c>
      <c r="D201" s="888"/>
      <c r="E201" s="893"/>
      <c r="F201" s="917" t="str">
        <f>IF(F200=$S$15,$T$10,IF(ROUNDDOWN(F200,0)=$S$10,$U$10,$T$10))</f>
        <v>　レベル　1</v>
      </c>
      <c r="G201" s="3678" t="s">
        <v>1788</v>
      </c>
      <c r="H201" s="3684"/>
      <c r="I201" s="3678" t="s">
        <v>25</v>
      </c>
      <c r="J201" s="3684"/>
      <c r="K201" s="917" t="str">
        <f>IF(K200=$S$15,$T$10,IF(ROUNDDOWN(K200,0)=$S$10,$U$10,$T$10))</f>
        <v>　レベル　1</v>
      </c>
      <c r="L201" s="3678" t="s">
        <v>1788</v>
      </c>
      <c r="M201" s="3698"/>
      <c r="N201" s="3698"/>
      <c r="O201" s="3684"/>
    </row>
    <row r="202" spans="2:15" ht="30.75" customHeight="1">
      <c r="B202" s="1127">
        <v>2</v>
      </c>
      <c r="C202" s="1" t="s">
        <v>1246</v>
      </c>
      <c r="D202" s="888"/>
      <c r="E202" s="893"/>
      <c r="F202" s="922" t="str">
        <f>IF(F200=$S$15,$T$11,IF(ROUNDDOWN(F200,0)=$S$11,$U$11,$T$11))</f>
        <v>　レベル　2</v>
      </c>
      <c r="G202" s="3682" t="s">
        <v>799</v>
      </c>
      <c r="H202" s="3683"/>
      <c r="I202" s="3682" t="s">
        <v>26</v>
      </c>
      <c r="J202" s="3683"/>
      <c r="K202" s="922" t="str">
        <f>IF(K200=$S$15,$T$11,IF(ROUNDDOWN(K200,0)=$S$11,$U$11,$T$11))</f>
        <v>　レベル　2</v>
      </c>
      <c r="L202" s="3682" t="s">
        <v>1788</v>
      </c>
      <c r="M202" s="3688"/>
      <c r="N202" s="3688"/>
      <c r="O202" s="3683"/>
    </row>
    <row r="203" spans="2:15" ht="24.75" customHeight="1">
      <c r="B203" s="1">
        <v>3</v>
      </c>
      <c r="C203" s="1">
        <v>3</v>
      </c>
      <c r="D203" s="888"/>
      <c r="E203" s="893"/>
      <c r="F203" s="922" t="str">
        <f>IF(F200=$S$15,$T$12,IF(ROUNDDOWN(F200,0)=$S$12,$U$12,$T$12))</f>
        <v>■レベル　3</v>
      </c>
      <c r="G203" s="3682" t="s">
        <v>277</v>
      </c>
      <c r="H203" s="3683"/>
      <c r="I203" s="3682" t="s">
        <v>27</v>
      </c>
      <c r="J203" s="3683"/>
      <c r="K203" s="922" t="str">
        <f>IF(K200=$S$15,$T$12,IF(ROUNDDOWN(K200,0)=$S$12,$U$12,$T$12))</f>
        <v>■レベル　3</v>
      </c>
      <c r="L203" s="2142" t="s">
        <v>3829</v>
      </c>
      <c r="M203" s="3040"/>
      <c r="N203" s="3040"/>
      <c r="O203" s="3031"/>
    </row>
    <row r="204" spans="2:15" ht="26.25" customHeight="1">
      <c r="B204" s="1">
        <v>4</v>
      </c>
      <c r="C204" s="1">
        <v>4</v>
      </c>
      <c r="D204" s="888"/>
      <c r="E204" s="893"/>
      <c r="F204" s="922" t="str">
        <f>IF(F200=$S$15,$T$13,IF(ROUNDDOWN(F200,0)=$S$13,$U$13,$T$13))</f>
        <v>　レベル　4</v>
      </c>
      <c r="G204" s="3682" t="s">
        <v>278</v>
      </c>
      <c r="H204" s="3683"/>
      <c r="I204" s="3682" t="s">
        <v>799</v>
      </c>
      <c r="J204" s="3683"/>
      <c r="K204" s="922" t="str">
        <f>IF(K200=$S$15,$T$13,IF(ROUNDDOWN(K200,0)=$S$13,$U$13,$T$13))</f>
        <v>　レベル　4</v>
      </c>
      <c r="L204" s="3754" t="s">
        <v>3830</v>
      </c>
      <c r="M204" s="3839"/>
      <c r="N204" s="3839"/>
      <c r="O204" s="3840"/>
    </row>
    <row r="205" spans="2:15" ht="43.5" customHeight="1">
      <c r="B205" s="1">
        <v>5</v>
      </c>
      <c r="C205" s="1">
        <v>5</v>
      </c>
      <c r="D205" s="888"/>
      <c r="E205" s="893"/>
      <c r="F205" s="933" t="str">
        <f>IF(F200=$S$15,$T$14,IF(ROUNDDOWN(F200,0)=$S$14,$U$14,$T$14))</f>
        <v>　レベル　5</v>
      </c>
      <c r="G205" s="3680" t="s">
        <v>279</v>
      </c>
      <c r="H205" s="3681"/>
      <c r="I205" s="3680" t="s">
        <v>279</v>
      </c>
      <c r="J205" s="3681"/>
      <c r="K205" s="933" t="str">
        <f>IF(K200=$S$15,$T$14,IF(ROUNDDOWN(K200,0)=$S$14,$U$14,$T$14))</f>
        <v>　レベル　5</v>
      </c>
      <c r="L205" s="3757" t="s">
        <v>3831</v>
      </c>
      <c r="M205" s="3841"/>
      <c r="N205" s="3841"/>
      <c r="O205" s="3842"/>
    </row>
    <row r="206" spans="2:15" ht="15.75">
      <c r="B206" s="940">
        <v>0</v>
      </c>
      <c r="C206" s="940">
        <v>0</v>
      </c>
      <c r="D206" s="888"/>
      <c r="E206" s="546"/>
      <c r="F206" s="1096"/>
      <c r="G206" s="975"/>
      <c r="H206" s="975"/>
      <c r="I206" s="975"/>
      <c r="J206" s="975"/>
      <c r="K206" s="1096"/>
      <c r="L206" s="1096"/>
      <c r="M206" s="1096"/>
      <c r="N206" s="1096"/>
      <c r="O206" s="1096"/>
    </row>
    <row r="207" spans="2:15" ht="15.75">
      <c r="D207" s="1203">
        <v>2.2000000000000002</v>
      </c>
      <c r="E207" s="1022" t="s">
        <v>1821</v>
      </c>
      <c r="F207" s="1204"/>
      <c r="G207" s="1204"/>
      <c r="H207" s="1023"/>
      <c r="I207" s="1133"/>
      <c r="J207" s="1133"/>
      <c r="K207" s="1132"/>
      <c r="L207" s="1202"/>
      <c r="M207" s="1132"/>
      <c r="N207" s="1132"/>
      <c r="O207" s="1132"/>
    </row>
    <row r="208" spans="2:15" ht="15.75">
      <c r="D208" s="1203"/>
      <c r="E208" s="1022"/>
      <c r="F208" s="1064" t="s">
        <v>435</v>
      </c>
      <c r="G208" s="976"/>
      <c r="H208" s="1025"/>
      <c r="I208" s="1005"/>
      <c r="J208" s="979" t="str">
        <f>IF(OR(F210=0,J209=0),$R$3,"")</f>
        <v/>
      </c>
      <c r="K208" s="1064" t="s">
        <v>946</v>
      </c>
      <c r="L208" s="976"/>
      <c r="M208" s="1025"/>
      <c r="N208" s="1005"/>
      <c r="O208" s="979" t="str">
        <f>IF(OR(K210=0,O209=0),$R$3,"")</f>
        <v/>
      </c>
    </row>
    <row r="209" spans="2:15" ht="16.5" thickBot="1">
      <c r="D209" s="888"/>
      <c r="E209" s="893"/>
      <c r="F209" s="903"/>
      <c r="G209" s="904"/>
      <c r="H209" s="905"/>
      <c r="I209" s="906" t="s">
        <v>1121</v>
      </c>
      <c r="J209" s="909">
        <f>重み!M83</f>
        <v>0.2</v>
      </c>
      <c r="K209" s="903"/>
      <c r="L209" s="904"/>
      <c r="M209" s="905"/>
      <c r="N209" s="906" t="s">
        <v>1121</v>
      </c>
      <c r="O209" s="909">
        <f>重み!M84</f>
        <v>0.2</v>
      </c>
    </row>
    <row r="210" spans="2:15" ht="16.5" thickBot="1">
      <c r="D210" s="888"/>
      <c r="E210" s="893"/>
      <c r="F210" s="910">
        <v>3</v>
      </c>
      <c r="G210" s="1026" t="s">
        <v>34</v>
      </c>
      <c r="H210" s="915"/>
      <c r="I210" s="915"/>
      <c r="J210" s="916"/>
      <c r="K210" s="910">
        <v>3</v>
      </c>
      <c r="L210" s="1026" t="s">
        <v>1243</v>
      </c>
      <c r="M210" s="916"/>
      <c r="N210" s="1026"/>
      <c r="O210" s="1031"/>
    </row>
    <row r="211" spans="2:15" ht="15.75">
      <c r="B211" s="1" t="s">
        <v>1246</v>
      </c>
      <c r="C211" s="1">
        <v>1</v>
      </c>
      <c r="D211" s="888"/>
      <c r="E211" s="893"/>
      <c r="F211" s="917" t="str">
        <f>IF(F210=$S$15,$T$10,IF(ROUNDDOWN(F210,0)=$S$10,$U$10,$T$10))</f>
        <v>　レベル　1</v>
      </c>
      <c r="G211" s="919" t="s">
        <v>1788</v>
      </c>
      <c r="H211" s="1205"/>
      <c r="I211" s="1205"/>
      <c r="J211" s="921"/>
      <c r="K211" s="917" t="str">
        <f>IF(K210=$S$15,$T$10,IF(ROUNDDOWN(K210,0)=$S$10,$U$10,$T$10))</f>
        <v>　レベル　1</v>
      </c>
      <c r="L211" s="919" t="s">
        <v>436</v>
      </c>
      <c r="M211" s="1205"/>
      <c r="N211" s="1205"/>
      <c r="O211" s="921"/>
    </row>
    <row r="212" spans="2:15" ht="15.75">
      <c r="B212" s="1" t="s">
        <v>1246</v>
      </c>
      <c r="C212" s="1">
        <v>2</v>
      </c>
      <c r="D212" s="888"/>
      <c r="E212" s="893"/>
      <c r="F212" s="922" t="str">
        <f>IF(F210=$S$15,$T$11,IF(ROUNDDOWN(F210,0)=$S$11,$U$11,$T$11))</f>
        <v>　レベル　2</v>
      </c>
      <c r="G212" s="926" t="s">
        <v>1788</v>
      </c>
      <c r="H212" s="1066"/>
      <c r="I212" s="1066"/>
      <c r="J212" s="928"/>
      <c r="K212" s="922" t="str">
        <f>IF(K210=$S$15,$T$11,IF(ROUNDDOWN(K210,0)=$S$11,$U$11,$T$11))</f>
        <v>　レベル　2</v>
      </c>
      <c r="L212" s="926" t="s">
        <v>437</v>
      </c>
      <c r="M212" s="1066"/>
      <c r="N212" s="1066"/>
      <c r="O212" s="928"/>
    </row>
    <row r="213" spans="2:15" ht="42" customHeight="1">
      <c r="B213" s="1">
        <v>3</v>
      </c>
      <c r="C213" s="1">
        <v>3</v>
      </c>
      <c r="D213" s="888"/>
      <c r="E213" s="893"/>
      <c r="F213" s="922" t="str">
        <f>IF(F210=$S$15,$T$12,IF(ROUNDDOWN(F210,0)=$S$12,$U$12,$T$12))</f>
        <v>■レベル　3</v>
      </c>
      <c r="G213" s="3682" t="s">
        <v>2814</v>
      </c>
      <c r="H213" s="3699"/>
      <c r="I213" s="3699"/>
      <c r="J213" s="3726"/>
      <c r="K213" s="922" t="str">
        <f>IF(K210=$S$15,$T$12,IF(ROUNDDOWN(K210,0)=$S$12,$U$12,$T$12))</f>
        <v>■レベル　3</v>
      </c>
      <c r="L213" s="926" t="s">
        <v>438</v>
      </c>
      <c r="M213" s="1066"/>
      <c r="N213" s="1066"/>
      <c r="O213" s="928"/>
    </row>
    <row r="214" spans="2:15" ht="42" customHeight="1">
      <c r="B214" s="1">
        <v>4</v>
      </c>
      <c r="C214" s="1">
        <v>4</v>
      </c>
      <c r="D214" s="888"/>
      <c r="E214" s="893"/>
      <c r="F214" s="922" t="str">
        <f>IF(F210=$S$15,$T$13,IF(ROUNDDOWN(F210,0)=$S$13,$U$13,$T$13))</f>
        <v>　レベル　4</v>
      </c>
      <c r="G214" s="3682" t="s">
        <v>2815</v>
      </c>
      <c r="H214" s="3688"/>
      <c r="I214" s="3688"/>
      <c r="J214" s="3683"/>
      <c r="K214" s="922" t="str">
        <f>IF(K210=$S$15,$T$13,IF(ROUNDDOWN(K210,0)=$S$13,$U$13,$T$13))</f>
        <v>　レベル　4</v>
      </c>
      <c r="L214" s="926" t="s">
        <v>2385</v>
      </c>
      <c r="M214" s="1066"/>
      <c r="N214" s="1066"/>
      <c r="O214" s="928"/>
    </row>
    <row r="215" spans="2:15" ht="42" customHeight="1">
      <c r="B215" s="1">
        <v>5</v>
      </c>
      <c r="C215" s="1">
        <v>5</v>
      </c>
      <c r="D215" s="888"/>
      <c r="E215" s="893"/>
      <c r="F215" s="933" t="str">
        <f>IF(F210=$S$15,$T$14,IF(ROUNDDOWN(F210,0)=$S$14,$U$14,$T$14))</f>
        <v>　レベル　5</v>
      </c>
      <c r="G215" s="3680" t="s">
        <v>2816</v>
      </c>
      <c r="H215" s="3687"/>
      <c r="I215" s="3687"/>
      <c r="J215" s="3681"/>
      <c r="K215" s="933" t="str">
        <f>IF(K210=$S$15,$T$14,IF(ROUNDDOWN(K210,0)=$S$14,$U$14,$T$14))</f>
        <v>　レベル　5</v>
      </c>
      <c r="L215" s="937" t="s">
        <v>2386</v>
      </c>
      <c r="M215" s="1059"/>
      <c r="N215" s="1059"/>
      <c r="O215" s="939"/>
    </row>
    <row r="216" spans="2:15" ht="15.75">
      <c r="B216" s="940">
        <v>0</v>
      </c>
      <c r="C216" s="940">
        <v>0</v>
      </c>
      <c r="D216" s="888"/>
      <c r="E216" s="893"/>
      <c r="F216" s="1096"/>
      <c r="G216" s="975"/>
      <c r="H216" s="975"/>
      <c r="I216" s="975"/>
      <c r="J216" s="975"/>
      <c r="K216" s="1096"/>
      <c r="L216" s="1096"/>
      <c r="M216" s="1096"/>
      <c r="N216" s="1096"/>
      <c r="O216" s="1206"/>
    </row>
    <row r="217" spans="2:15" ht="15.75">
      <c r="D217" s="888"/>
      <c r="E217" s="893"/>
      <c r="F217" s="1064" t="s">
        <v>947</v>
      </c>
      <c r="G217" s="976"/>
      <c r="H217" s="1025"/>
      <c r="I217" s="1005"/>
      <c r="J217" s="979" t="str">
        <f>IF(OR(F219=0,J218=0),$R$3,"")</f>
        <v/>
      </c>
      <c r="K217" s="1064" t="s">
        <v>2387</v>
      </c>
      <c r="L217" s="976"/>
      <c r="M217" s="1025"/>
      <c r="N217" s="1005"/>
      <c r="O217" s="979" t="str">
        <f>IF(OR(K219=0,O218=0),$R$3,"")</f>
        <v/>
      </c>
    </row>
    <row r="218" spans="2:15" ht="15.75" customHeight="1" thickBot="1">
      <c r="D218" s="888"/>
      <c r="E218" s="1207"/>
      <c r="F218" s="903"/>
      <c r="G218" s="904"/>
      <c r="H218" s="905"/>
      <c r="I218" s="906" t="s">
        <v>1121</v>
      </c>
      <c r="J218" s="909">
        <f>重み!M85</f>
        <v>0.1</v>
      </c>
      <c r="K218" s="903"/>
      <c r="L218" s="904"/>
      <c r="M218" s="905"/>
      <c r="N218" s="906" t="s">
        <v>1121</v>
      </c>
      <c r="O218" s="909">
        <f>重み!M86</f>
        <v>0.1</v>
      </c>
    </row>
    <row r="219" spans="2:15" ht="15.75" customHeight="1" thickBot="1">
      <c r="D219" s="888"/>
      <c r="E219" s="1207"/>
      <c r="F219" s="910">
        <v>3</v>
      </c>
      <c r="G219" s="1026" t="s">
        <v>907</v>
      </c>
      <c r="H219" s="916"/>
      <c r="I219" s="915" t="s">
        <v>948</v>
      </c>
      <c r="J219" s="916"/>
      <c r="K219" s="910">
        <v>3</v>
      </c>
      <c r="L219" s="1026" t="s">
        <v>1243</v>
      </c>
      <c r="M219" s="916"/>
      <c r="N219" s="1026"/>
      <c r="O219" s="1031"/>
    </row>
    <row r="220" spans="2:15" ht="15.75" customHeight="1">
      <c r="B220" s="1">
        <v>1</v>
      </c>
      <c r="C220" s="1" t="s">
        <v>1246</v>
      </c>
      <c r="D220" s="888"/>
      <c r="E220" s="1136"/>
      <c r="F220" s="917" t="str">
        <f>IF(F219=$S$15,$T$10,IF(ROUNDDOWN(F219,0)=$S$10,$U$10,$T$10))</f>
        <v>　レベル　1</v>
      </c>
      <c r="G220" s="919" t="s">
        <v>949</v>
      </c>
      <c r="H220" s="921"/>
      <c r="I220" s="919" t="s">
        <v>436</v>
      </c>
      <c r="J220" s="921"/>
      <c r="K220" s="917" t="str">
        <f>IF(K219=$S$15,$T$10,IF(ROUNDDOWN(K219,0)=$S$10,$U$10,$T$10))</f>
        <v>　レベル　1</v>
      </c>
      <c r="L220" s="919" t="s">
        <v>1788</v>
      </c>
      <c r="M220" s="1205"/>
      <c r="N220" s="1205"/>
      <c r="O220" s="921"/>
    </row>
    <row r="221" spans="2:15" ht="15.75">
      <c r="B221" s="1">
        <v>2</v>
      </c>
      <c r="C221" s="1" t="s">
        <v>1246</v>
      </c>
      <c r="D221" s="888"/>
      <c r="E221" s="1136"/>
      <c r="F221" s="922" t="str">
        <f>IF(F219=$S$15,$T$11,IF(ROUNDDOWN(F219,0)=$S$11,$U$11,$T$11))</f>
        <v>　レベル　2</v>
      </c>
      <c r="G221" s="926" t="s">
        <v>2388</v>
      </c>
      <c r="H221" s="928"/>
      <c r="I221" s="926" t="s">
        <v>2389</v>
      </c>
      <c r="J221" s="928"/>
      <c r="K221" s="922" t="str">
        <f>IF(K219=$S$15,$T$11,IF(ROUNDDOWN(K219,0)=$S$11,$U$11,$T$11))</f>
        <v>　レベル　2</v>
      </c>
      <c r="L221" s="926" t="s">
        <v>1788</v>
      </c>
      <c r="M221" s="1066"/>
      <c r="N221" s="1066"/>
      <c r="O221" s="928"/>
    </row>
    <row r="222" spans="2:15" ht="15.75">
      <c r="B222" s="1">
        <v>3</v>
      </c>
      <c r="C222" s="1">
        <v>3</v>
      </c>
      <c r="D222" s="888"/>
      <c r="E222" s="1136"/>
      <c r="F222" s="922" t="str">
        <f>IF(F219=$S$15,$T$12,IF(ROUNDDOWN(F219,0)=$S$12,$U$12,$T$12))</f>
        <v>■レベル　3</v>
      </c>
      <c r="G222" s="926" t="s">
        <v>2390</v>
      </c>
      <c r="H222" s="928"/>
      <c r="I222" s="926" t="s">
        <v>2391</v>
      </c>
      <c r="J222" s="928"/>
      <c r="K222" s="922" t="str">
        <f>IF(K219=$S$15,$T$12,IF(ROUNDDOWN(K219,0)=$S$12,$U$12,$T$12))</f>
        <v>■レベル　3</v>
      </c>
      <c r="L222" s="926" t="s">
        <v>2392</v>
      </c>
      <c r="M222" s="1066"/>
      <c r="N222" s="1066"/>
      <c r="O222" s="928"/>
    </row>
    <row r="223" spans="2:15" ht="55.5" customHeight="1">
      <c r="B223" s="1">
        <v>4</v>
      </c>
      <c r="C223" s="1">
        <v>4</v>
      </c>
      <c r="D223" s="888"/>
      <c r="E223" s="1136"/>
      <c r="F223" s="922" t="str">
        <f>IF(F219=$S$15,$T$13,IF(ROUNDDOWN(F219,0)=$S$13,$U$13,$T$13))</f>
        <v>　レベル　4</v>
      </c>
      <c r="G223" s="926" t="s">
        <v>1264</v>
      </c>
      <c r="H223" s="928"/>
      <c r="I223" s="926" t="s">
        <v>950</v>
      </c>
      <c r="J223" s="928"/>
      <c r="K223" s="922" t="str">
        <f>IF(K219=$S$15,$T$13,IF(ROUNDDOWN(K219,0)=$S$13,$U$13,$T$13))</f>
        <v>　レベル　4</v>
      </c>
      <c r="L223" s="3682" t="s">
        <v>2817</v>
      </c>
      <c r="M223" s="3717"/>
      <c r="N223" s="3717"/>
      <c r="O223" s="3718"/>
    </row>
    <row r="224" spans="2:15" ht="55.5" customHeight="1">
      <c r="B224" s="1">
        <v>5</v>
      </c>
      <c r="C224" s="1">
        <v>5</v>
      </c>
      <c r="D224" s="888"/>
      <c r="E224" s="1136"/>
      <c r="F224" s="933" t="str">
        <f>IF(F219=$S$15,$T$14,IF(ROUNDDOWN(F219,0)=$S$14,$U$14,$T$14))</f>
        <v>　レベル　5</v>
      </c>
      <c r="G224" s="937" t="s">
        <v>951</v>
      </c>
      <c r="H224" s="939"/>
      <c r="I224" s="937" t="s">
        <v>1265</v>
      </c>
      <c r="J224" s="939"/>
      <c r="K224" s="933" t="str">
        <f>IF(K219=$S$15,$T$14,IF(ROUNDDOWN(K219,0)=$S$14,$U$14,$T$14))</f>
        <v>　レベル　5</v>
      </c>
      <c r="L224" s="3680" t="s">
        <v>2818</v>
      </c>
      <c r="M224" s="3727"/>
      <c r="N224" s="3727"/>
      <c r="O224" s="3728"/>
    </row>
    <row r="225" spans="2:15" ht="15.75">
      <c r="B225" s="940">
        <v>0</v>
      </c>
      <c r="C225" s="940">
        <v>0</v>
      </c>
      <c r="D225" s="888"/>
      <c r="E225" s="888"/>
      <c r="F225" s="1020"/>
      <c r="G225" s="1020"/>
      <c r="H225" s="1020"/>
      <c r="I225" s="1020"/>
      <c r="J225" s="1020"/>
      <c r="K225" s="1020"/>
      <c r="L225" s="1020"/>
      <c r="M225" s="1020"/>
      <c r="N225" s="1020"/>
      <c r="O225" s="1020"/>
    </row>
    <row r="226" spans="2:15" ht="15.75">
      <c r="D226" s="888"/>
      <c r="E226" s="888"/>
      <c r="F226" s="1064" t="s">
        <v>1860</v>
      </c>
      <c r="G226" s="976"/>
      <c r="H226" s="1025"/>
      <c r="I226" s="1005"/>
      <c r="J226" s="979" t="str">
        <f>IF(OR(F228=0,J227=0),$R$3,"")</f>
        <v/>
      </c>
      <c r="K226" s="1064" t="s">
        <v>294</v>
      </c>
      <c r="L226" s="976"/>
      <c r="M226" s="1025"/>
      <c r="N226" s="1005"/>
      <c r="O226" s="979" t="str">
        <f>IF(OR(K228=0,O227=0),$R$3,"")</f>
        <v/>
      </c>
    </row>
    <row r="227" spans="2:15" ht="15.75" customHeight="1" thickBot="1">
      <c r="D227" s="888"/>
      <c r="E227" s="1207"/>
      <c r="F227" s="903"/>
      <c r="G227" s="904"/>
      <c r="H227" s="905"/>
      <c r="I227" s="906" t="s">
        <v>1121</v>
      </c>
      <c r="J227" s="909">
        <f>重み!M87</f>
        <v>0.2</v>
      </c>
      <c r="K227" s="903"/>
      <c r="L227" s="904"/>
      <c r="M227" s="905"/>
      <c r="N227" s="906" t="s">
        <v>1121</v>
      </c>
      <c r="O227" s="909">
        <f>重み!M88</f>
        <v>0.2</v>
      </c>
    </row>
    <row r="228" spans="2:15" ht="15.75" customHeight="1" thickBot="1">
      <c r="D228" s="888"/>
      <c r="E228" s="1207"/>
      <c r="F228" s="910">
        <v>3</v>
      </c>
      <c r="G228" s="1026" t="s">
        <v>1243</v>
      </c>
      <c r="H228" s="916"/>
      <c r="I228" s="915"/>
      <c r="J228" s="916"/>
      <c r="K228" s="910">
        <v>3</v>
      </c>
      <c r="L228" s="1026" t="s">
        <v>1243</v>
      </c>
      <c r="M228" s="916"/>
      <c r="N228" s="1026"/>
      <c r="O228" s="1031"/>
    </row>
    <row r="229" spans="2:15" ht="15.75" customHeight="1">
      <c r="B229" s="1127" t="s">
        <v>1246</v>
      </c>
      <c r="C229" s="1">
        <v>1</v>
      </c>
      <c r="D229" s="888"/>
      <c r="E229" s="1136"/>
      <c r="F229" s="917" t="str">
        <f>IF(F228=$S$15,$T$10,IF(ROUNDDOWN(F228,0)=$S$10,$U$10,$T$10))</f>
        <v>　レベル　1</v>
      </c>
      <c r="G229" s="926" t="s">
        <v>1788</v>
      </c>
      <c r="H229" s="1205"/>
      <c r="I229" s="1205"/>
      <c r="J229" s="921"/>
      <c r="K229" s="917" t="str">
        <f>IF(K228=$S$15,$T$10,IF(ROUNDDOWN(K228,0)=$S$10,$U$10,$T$10))</f>
        <v>　レベル　1</v>
      </c>
      <c r="L229" s="919" t="s">
        <v>295</v>
      </c>
      <c r="M229" s="1205"/>
      <c r="N229" s="1205"/>
      <c r="O229" s="921"/>
    </row>
    <row r="230" spans="2:15" ht="15.75">
      <c r="B230" s="1" t="s">
        <v>1246</v>
      </c>
      <c r="C230" s="1">
        <v>2</v>
      </c>
      <c r="D230" s="888"/>
      <c r="E230" s="1136"/>
      <c r="F230" s="922" t="str">
        <f>IF(F228=$S$15,$T$11,IF(ROUNDDOWN(F228,0)=$S$11,$U$11,$T$11))</f>
        <v>　レベル　2</v>
      </c>
      <c r="G230" s="926" t="s">
        <v>1788</v>
      </c>
      <c r="H230" s="1066"/>
      <c r="I230" s="1066"/>
      <c r="J230" s="928"/>
      <c r="K230" s="922" t="str">
        <f>IF(K228=$S$15,$T$11,IF(ROUNDDOWN(K228,0)=$S$11,$U$11,$T$11))</f>
        <v>　レベル　2</v>
      </c>
      <c r="L230" s="926" t="s">
        <v>1861</v>
      </c>
      <c r="M230" s="1066"/>
      <c r="N230" s="1066"/>
      <c r="O230" s="928"/>
    </row>
    <row r="231" spans="2:15" ht="15.75">
      <c r="B231" s="1">
        <v>3</v>
      </c>
      <c r="C231" s="1">
        <v>3</v>
      </c>
      <c r="D231" s="888"/>
      <c r="E231" s="1136"/>
      <c r="F231" s="922" t="str">
        <f>IF(F228=$S$15,$T$12,IF(ROUNDDOWN(F228,0)=$S$12,$U$12,$T$12))</f>
        <v>■レベル　3</v>
      </c>
      <c r="G231" s="926" t="s">
        <v>1862</v>
      </c>
      <c r="H231" s="1066"/>
      <c r="I231" s="1066"/>
      <c r="J231" s="928"/>
      <c r="K231" s="922" t="str">
        <f>IF(K228=$S$15,$T$12,IF(ROUNDDOWN(K228,0)=$S$12,$U$12,$T$12))</f>
        <v>■レベル　3</v>
      </c>
      <c r="L231" s="926" t="s">
        <v>1863</v>
      </c>
      <c r="M231" s="1066"/>
      <c r="N231" s="1066"/>
      <c r="O231" s="928"/>
    </row>
    <row r="232" spans="2:15" ht="15.75">
      <c r="B232" s="1127">
        <v>4</v>
      </c>
      <c r="C232" s="1">
        <v>4</v>
      </c>
      <c r="D232" s="888"/>
      <c r="E232" s="1136"/>
      <c r="F232" s="922" t="str">
        <f>IF(F228=$S$15,$T$13,IF(ROUNDDOWN(F228,0)=$S$13,$U$13,$T$13))</f>
        <v>　レベル　4</v>
      </c>
      <c r="G232" s="926" t="s">
        <v>2819</v>
      </c>
      <c r="H232" s="1066"/>
      <c r="I232" s="1066"/>
      <c r="J232" s="928"/>
      <c r="K232" s="922" t="str">
        <f>IF(K228=$S$15,$T$13,IF(ROUNDDOWN(K228,0)=$S$13,$U$13,$T$13))</f>
        <v>　レベル　4</v>
      </c>
      <c r="L232" s="926" t="s">
        <v>1360</v>
      </c>
      <c r="M232" s="1066"/>
      <c r="N232" s="1066"/>
      <c r="O232" s="928"/>
    </row>
    <row r="233" spans="2:15" ht="16.5" customHeight="1">
      <c r="B233" s="1127">
        <v>5</v>
      </c>
      <c r="C233" s="1">
        <v>5</v>
      </c>
      <c r="D233" s="888"/>
      <c r="E233" s="1136"/>
      <c r="F233" s="933" t="str">
        <f>IF(F228=$S$15,$T$14,IF(ROUNDDOWN(F228,0)=$S$14,$U$14,$T$14))</f>
        <v>　レベル　5</v>
      </c>
      <c r="G233" s="937" t="s">
        <v>2820</v>
      </c>
      <c r="H233" s="1059"/>
      <c r="I233" s="1059"/>
      <c r="J233" s="939"/>
      <c r="K233" s="933" t="str">
        <f>IF(K228=$S$15,$T$14,IF(ROUNDDOWN(K228,0)=$S$14,$U$14,$T$14))</f>
        <v>　レベル　5</v>
      </c>
      <c r="L233" s="937" t="s">
        <v>1292</v>
      </c>
      <c r="M233" s="1059"/>
      <c r="N233" s="1059"/>
      <c r="O233" s="939"/>
    </row>
    <row r="234" spans="2:15" ht="15.75">
      <c r="B234" s="940">
        <v>0</v>
      </c>
      <c r="C234" s="940">
        <v>0</v>
      </c>
      <c r="D234" s="888"/>
      <c r="E234" s="888"/>
      <c r="F234" s="1020"/>
      <c r="G234" s="1020"/>
      <c r="H234" s="1020"/>
      <c r="I234" s="1020"/>
      <c r="J234" s="1020"/>
      <c r="K234" s="1020"/>
      <c r="L234" s="1020"/>
      <c r="M234" s="1020"/>
      <c r="N234" s="1020"/>
      <c r="O234" s="1020"/>
    </row>
    <row r="235" spans="2:15" ht="15.75">
      <c r="D235" s="1311">
        <v>2.2999999999999998</v>
      </c>
      <c r="E235" s="1123" t="s">
        <v>626</v>
      </c>
      <c r="F235" s="1132"/>
      <c r="G235" s="975" t="s">
        <v>1293</v>
      </c>
      <c r="H235" s="975"/>
      <c r="I235" s="975"/>
      <c r="J235" s="975"/>
      <c r="K235" s="1096"/>
      <c r="L235" s="1096"/>
      <c r="M235" s="1096"/>
      <c r="N235" s="1096"/>
      <c r="O235" s="1206"/>
    </row>
    <row r="236" spans="2:15" ht="15.75" hidden="1">
      <c r="B236" s="1094" t="s">
        <v>1294</v>
      </c>
      <c r="D236" s="1311"/>
      <c r="E236" s="1123"/>
      <c r="F236" s="1064" t="s">
        <v>296</v>
      </c>
      <c r="G236" s="976"/>
      <c r="H236" s="1025"/>
      <c r="I236" s="1005"/>
      <c r="J236" s="979" t="str">
        <f>IF(OR(F238=0,J237=0),$R$3,"")</f>
        <v>&lt;評価しない&gt;</v>
      </c>
      <c r="K236" s="1064" t="s">
        <v>297</v>
      </c>
      <c r="L236" s="976"/>
      <c r="M236" s="1025"/>
      <c r="N236" s="1005"/>
      <c r="O236" s="979" t="str">
        <f>IF(OR(K238=0,O237=0),$R$3,"")</f>
        <v>&lt;評価しない&gt;</v>
      </c>
    </row>
    <row r="237" spans="2:15" ht="16.5" hidden="1" thickBot="1">
      <c r="D237" s="1311"/>
      <c r="E237" s="1123"/>
      <c r="F237" s="903" t="s">
        <v>2341</v>
      </c>
      <c r="G237" s="904"/>
      <c r="H237" s="905"/>
      <c r="I237" s="906" t="s">
        <v>298</v>
      </c>
      <c r="J237" s="909">
        <f>重み!M90</f>
        <v>0</v>
      </c>
      <c r="K237" s="903" t="s">
        <v>2341</v>
      </c>
      <c r="L237" s="904"/>
      <c r="M237" s="905"/>
      <c r="N237" s="906" t="s">
        <v>298</v>
      </c>
      <c r="O237" s="909">
        <f>重み!M91</f>
        <v>0</v>
      </c>
    </row>
    <row r="238" spans="2:15" ht="16.5" hidden="1" thickBot="1">
      <c r="D238" s="1311"/>
      <c r="E238" s="1123"/>
      <c r="F238" s="910">
        <v>3</v>
      </c>
      <c r="G238" s="1026" t="s">
        <v>299</v>
      </c>
      <c r="H238" s="916"/>
      <c r="I238" s="915"/>
      <c r="J238" s="916"/>
      <c r="K238" s="910">
        <v>3</v>
      </c>
      <c r="L238" s="1026" t="s">
        <v>299</v>
      </c>
      <c r="M238" s="916"/>
      <c r="N238" s="1026"/>
      <c r="O238" s="1031"/>
    </row>
    <row r="239" spans="2:15" ht="15.75" hidden="1" customHeight="1">
      <c r="B239" s="1">
        <v>1</v>
      </c>
      <c r="C239" s="1">
        <v>1</v>
      </c>
      <c r="D239" s="1311"/>
      <c r="E239" s="1123"/>
      <c r="F239" s="917" t="str">
        <f>IF(F238=$S$15,$T$10,IF(ROUNDDOWN(F238,0)=$S$10,$U$10,$T$10))</f>
        <v>　レベル　1</v>
      </c>
      <c r="G239" s="2416" t="s">
        <v>1295</v>
      </c>
      <c r="H239" s="1205"/>
      <c r="I239" s="1205"/>
      <c r="J239" s="921"/>
      <c r="K239" s="917" t="str">
        <f>IF(K238=$S$15,$T$10,IF(ROUNDDOWN(K238,0)=$S$10,$U$10,$T$10))</f>
        <v>　レベル　1</v>
      </c>
      <c r="L239" s="3678" t="s">
        <v>1295</v>
      </c>
      <c r="M239" s="3806"/>
      <c r="N239" s="3806"/>
      <c r="O239" s="3807"/>
    </row>
    <row r="240" spans="2:15" ht="15.75" hidden="1" customHeight="1">
      <c r="B240" s="1">
        <v>2</v>
      </c>
      <c r="C240" s="1">
        <v>2</v>
      </c>
      <c r="D240" s="1311"/>
      <c r="E240" s="1123"/>
      <c r="F240" s="922" t="str">
        <f>IF(F238=$S$15,$T$11,IF(ROUNDDOWN(F238,0)=$S$11,$U$11,$T$11))</f>
        <v>　レベル　2</v>
      </c>
      <c r="G240" s="2416" t="s">
        <v>1296</v>
      </c>
      <c r="H240" s="1066"/>
      <c r="I240" s="1066"/>
      <c r="J240" s="928"/>
      <c r="K240" s="922" t="str">
        <f>IF(K238=$S$15,$T$11,IF(ROUNDDOWN(K238,0)=$S$11,$U$11,$T$11))</f>
        <v>　レベル　2</v>
      </c>
      <c r="L240" s="3682" t="s">
        <v>1296</v>
      </c>
      <c r="M240" s="3717"/>
      <c r="N240" s="3717"/>
      <c r="O240" s="3718"/>
    </row>
    <row r="241" spans="2:15" ht="15.75" hidden="1" customHeight="1">
      <c r="B241" s="1">
        <v>3</v>
      </c>
      <c r="C241" s="1">
        <v>3</v>
      </c>
      <c r="D241" s="1311"/>
      <c r="E241" s="1123"/>
      <c r="F241" s="922" t="str">
        <f>IF(F238=$S$15,$T$12,IF(ROUNDDOWN(F238,0)=$S$12,$U$12,$T$12))</f>
        <v>■レベル　3</v>
      </c>
      <c r="G241" s="2416" t="s">
        <v>2492</v>
      </c>
      <c r="H241" s="1066"/>
      <c r="I241" s="1066"/>
      <c r="J241" s="928"/>
      <c r="K241" s="922" t="str">
        <f>IF(K238=$S$15,$T$12,IF(ROUNDDOWN(K238,0)=$S$12,$U$12,$T$12))</f>
        <v>■レベル　3</v>
      </c>
      <c r="L241" s="3682" t="s">
        <v>2493</v>
      </c>
      <c r="M241" s="3717"/>
      <c r="N241" s="3717"/>
      <c r="O241" s="3718"/>
    </row>
    <row r="242" spans="2:15" ht="15.75" hidden="1" customHeight="1">
      <c r="B242" s="1" t="s">
        <v>300</v>
      </c>
      <c r="C242" s="1" t="s">
        <v>300</v>
      </c>
      <c r="D242" s="1311"/>
      <c r="E242" s="1123"/>
      <c r="F242" s="922" t="str">
        <f>IF(F238=$S$15,$T$13,IF(ROUNDDOWN(F238,0)=$S$13,$U$13,$T$13))</f>
        <v>　レベル　4</v>
      </c>
      <c r="G242" s="3682" t="s">
        <v>1788</v>
      </c>
      <c r="H242" s="3717"/>
      <c r="I242" s="3717"/>
      <c r="J242" s="3718"/>
      <c r="K242" s="922" t="str">
        <f>IF(K238=$S$15,$T$13,IF(ROUNDDOWN(K238,0)=$S$13,$U$13,$T$13))</f>
        <v>　レベル　4</v>
      </c>
      <c r="L242" s="3682" t="s">
        <v>1788</v>
      </c>
      <c r="M242" s="3717"/>
      <c r="N242" s="3717"/>
      <c r="O242" s="3718"/>
    </row>
    <row r="243" spans="2:15" ht="15.75" hidden="1" customHeight="1">
      <c r="B243" s="1">
        <v>5</v>
      </c>
      <c r="C243" s="1">
        <v>5</v>
      </c>
      <c r="D243" s="1311"/>
      <c r="E243" s="1123"/>
      <c r="F243" s="933" t="str">
        <f>IF(F238=$S$15,$T$14,IF(ROUNDDOWN(F238,0)=$S$14,$U$14,$T$14))</f>
        <v>　レベル　5</v>
      </c>
      <c r="G243" s="2414" t="s">
        <v>1297</v>
      </c>
      <c r="H243" s="1059"/>
      <c r="I243" s="1059"/>
      <c r="J243" s="939"/>
      <c r="K243" s="933" t="str">
        <f>IF(K238=$S$15,$T$14,IF(ROUNDDOWN(K238,0)=$S$14,$U$14,$T$14))</f>
        <v>　レベル　5</v>
      </c>
      <c r="L243" s="3680" t="s">
        <v>1297</v>
      </c>
      <c r="M243" s="3727"/>
      <c r="N243" s="3727"/>
      <c r="O243" s="3728"/>
    </row>
    <row r="244" spans="2:15" ht="15.75" hidden="1">
      <c r="B244" s="940">
        <v>0</v>
      </c>
      <c r="C244" s="940">
        <v>0</v>
      </c>
      <c r="D244" s="1311"/>
      <c r="E244" s="1123"/>
      <c r="F244" s="1143"/>
      <c r="G244" s="1143"/>
      <c r="H244" s="1143"/>
      <c r="I244" s="1143"/>
      <c r="J244" s="1143"/>
      <c r="K244" s="1143"/>
      <c r="L244" s="1143"/>
      <c r="M244" s="1143"/>
      <c r="N244" s="1143"/>
      <c r="O244" s="1143"/>
    </row>
    <row r="245" spans="2:15" ht="15.75" hidden="1">
      <c r="B245" s="1094" t="s">
        <v>1294</v>
      </c>
      <c r="D245" s="1311"/>
      <c r="E245" s="1123"/>
      <c r="F245" s="1064" t="s">
        <v>301</v>
      </c>
      <c r="G245" s="976"/>
      <c r="H245" s="1025"/>
      <c r="I245" s="1005"/>
      <c r="J245" s="979" t="str">
        <f>IF(OR(F247=0,J246=0),$R$3,"")</f>
        <v>&lt;評価しない&gt;</v>
      </c>
      <c r="K245" s="1143"/>
      <c r="L245" s="1143"/>
      <c r="M245" s="1143"/>
      <c r="N245" s="1143"/>
      <c r="O245" s="1143"/>
    </row>
    <row r="246" spans="2:15" ht="16.5" hidden="1" thickBot="1">
      <c r="D246" s="1311"/>
      <c r="E246" s="1123"/>
      <c r="F246" s="903" t="s">
        <v>2341</v>
      </c>
      <c r="G246" s="904"/>
      <c r="H246" s="905"/>
      <c r="I246" s="906" t="s">
        <v>298</v>
      </c>
      <c r="J246" s="909">
        <f>重み!M92</f>
        <v>0</v>
      </c>
      <c r="K246" s="1143"/>
      <c r="L246" s="1143"/>
      <c r="M246" s="1143"/>
      <c r="N246" s="1143"/>
      <c r="O246" s="1143"/>
    </row>
    <row r="247" spans="2:15" ht="16.5" hidden="1" thickBot="1">
      <c r="D247" s="1311"/>
      <c r="E247" s="1123"/>
      <c r="F247" s="910">
        <v>3</v>
      </c>
      <c r="G247" s="1026" t="s">
        <v>299</v>
      </c>
      <c r="H247" s="916"/>
      <c r="I247" s="915"/>
      <c r="J247" s="916"/>
      <c r="K247" s="1143"/>
      <c r="L247" s="1143"/>
      <c r="M247" s="1143"/>
      <c r="N247" s="1143"/>
      <c r="O247" s="1143"/>
    </row>
    <row r="248" spans="2:15" ht="15.75" hidden="1" customHeight="1">
      <c r="B248" s="1">
        <v>1</v>
      </c>
      <c r="C248" s="1">
        <v>1</v>
      </c>
      <c r="D248" s="1311"/>
      <c r="E248" s="1123"/>
      <c r="F248" s="917" t="str">
        <f>IF(F247=$S$15,$T$10,IF(ROUNDDOWN(F247,0)=$S$10,$U$10,$T$10))</f>
        <v>　レベル　1</v>
      </c>
      <c r="G248" s="3678" t="s">
        <v>1295</v>
      </c>
      <c r="H248" s="3806"/>
      <c r="I248" s="3806"/>
      <c r="J248" s="3807"/>
      <c r="K248" s="1143"/>
      <c r="L248" s="1143"/>
      <c r="M248" s="1143"/>
      <c r="N248" s="1143"/>
      <c r="O248" s="1143"/>
    </row>
    <row r="249" spans="2:15" ht="15.75" hidden="1" customHeight="1">
      <c r="B249" s="1">
        <v>2</v>
      </c>
      <c r="C249" s="1">
        <v>2</v>
      </c>
      <c r="D249" s="1311"/>
      <c r="E249" s="1123"/>
      <c r="F249" s="922" t="str">
        <f>IF(F247=$S$15,$T$11,IF(ROUNDDOWN(F247,0)=$S$11,$U$11,$T$11))</f>
        <v>　レベル　2</v>
      </c>
      <c r="G249" s="3682" t="s">
        <v>1296</v>
      </c>
      <c r="H249" s="3717"/>
      <c r="I249" s="3717"/>
      <c r="J249" s="3718"/>
      <c r="K249" s="1143"/>
      <c r="L249" s="1143"/>
      <c r="M249" s="1143"/>
      <c r="N249" s="1143"/>
      <c r="O249" s="1143"/>
    </row>
    <row r="250" spans="2:15" ht="15.75" hidden="1" customHeight="1">
      <c r="B250" s="1">
        <v>3</v>
      </c>
      <c r="C250" s="1">
        <v>3</v>
      </c>
      <c r="D250" s="1311"/>
      <c r="E250" s="1123"/>
      <c r="F250" s="922" t="str">
        <f>IF(F247=$S$15,$T$12,IF(ROUNDDOWN(F247,0)=$S$12,$U$12,$T$12))</f>
        <v>■レベル　3</v>
      </c>
      <c r="G250" s="3682" t="s">
        <v>2493</v>
      </c>
      <c r="H250" s="3717"/>
      <c r="I250" s="3717"/>
      <c r="J250" s="3718"/>
      <c r="K250" s="1143"/>
      <c r="L250" s="1143"/>
      <c r="M250" s="1143"/>
      <c r="N250" s="1143"/>
      <c r="O250" s="1143"/>
    </row>
    <row r="251" spans="2:15" ht="15.75" hidden="1" customHeight="1">
      <c r="B251" s="1" t="s">
        <v>300</v>
      </c>
      <c r="C251" s="1">
        <v>4</v>
      </c>
      <c r="D251" s="1311"/>
      <c r="E251" s="1123"/>
      <c r="F251" s="922" t="str">
        <f>IF(F247=$S$15,$T$13,IF(ROUNDDOWN(F247,0)=$S$13,$U$13,$T$13))</f>
        <v>　レベル　4</v>
      </c>
      <c r="G251" s="3682" t="s">
        <v>1788</v>
      </c>
      <c r="H251" s="3717"/>
      <c r="I251" s="3717"/>
      <c r="J251" s="3718"/>
      <c r="K251" s="1143"/>
      <c r="L251" s="1143"/>
      <c r="M251" s="1143"/>
      <c r="N251" s="1143"/>
      <c r="O251" s="1143"/>
    </row>
    <row r="252" spans="2:15" ht="15.75" hidden="1" customHeight="1">
      <c r="B252" s="1">
        <v>5</v>
      </c>
      <c r="C252" s="1">
        <v>5</v>
      </c>
      <c r="D252" s="1311"/>
      <c r="E252" s="1123"/>
      <c r="F252" s="933" t="str">
        <f>IF(F247=$S$15,$T$14,IF(ROUNDDOWN(F247,0)=$S$14,$U$14,$T$14))</f>
        <v>　レベル　5</v>
      </c>
      <c r="G252" s="3680" t="s">
        <v>2494</v>
      </c>
      <c r="H252" s="3727"/>
      <c r="I252" s="3727"/>
      <c r="J252" s="3728"/>
      <c r="K252" s="1143"/>
      <c r="L252" s="1143"/>
      <c r="M252" s="1143"/>
      <c r="N252" s="1143"/>
      <c r="O252" s="1143"/>
    </row>
    <row r="253" spans="2:15" ht="15.75">
      <c r="B253" s="940">
        <v>0</v>
      </c>
      <c r="C253" s="940">
        <v>0</v>
      </c>
      <c r="D253" s="1311"/>
      <c r="E253" s="1123"/>
      <c r="F253" s="1132"/>
      <c r="G253" s="975"/>
      <c r="H253" s="975"/>
      <c r="I253" s="975"/>
      <c r="J253" s="975"/>
      <c r="K253" s="1096"/>
      <c r="L253" s="1096"/>
      <c r="M253" s="1096"/>
      <c r="N253" s="1096"/>
      <c r="O253" s="1206"/>
    </row>
    <row r="254" spans="2:15" ht="15.75">
      <c r="D254" s="1311">
        <v>2.4</v>
      </c>
      <c r="E254" s="1123" t="s">
        <v>66</v>
      </c>
      <c r="F254" s="1132"/>
      <c r="G254" s="1133"/>
      <c r="H254" s="1133"/>
      <c r="I254" s="1133"/>
      <c r="J254" s="1133"/>
      <c r="K254" s="1132"/>
      <c r="L254" s="1132"/>
      <c r="M254" s="1132"/>
      <c r="N254" s="1132"/>
      <c r="O254" s="1132"/>
    </row>
    <row r="255" spans="2:15" ht="15.75">
      <c r="D255" s="1311"/>
      <c r="E255" s="1123"/>
      <c r="F255" s="1064" t="s">
        <v>302</v>
      </c>
      <c r="G255" s="1133"/>
      <c r="H255" s="1133"/>
      <c r="I255" s="1133"/>
      <c r="J255" s="1133" t="str">
        <f>IF(OR(F257=0,J256=0),$R$3,"")</f>
        <v/>
      </c>
      <c r="K255" s="1132"/>
      <c r="L255" s="1132"/>
      <c r="M255" s="1132"/>
      <c r="N255" s="1132"/>
      <c r="O255" s="1132"/>
    </row>
    <row r="256" spans="2:15" ht="16.5" thickBot="1">
      <c r="D256" s="888"/>
      <c r="E256" s="893"/>
      <c r="F256" s="1045"/>
      <c r="G256" s="904"/>
      <c r="H256" s="905"/>
      <c r="I256" s="906" t="s">
        <v>1121</v>
      </c>
      <c r="J256" s="907">
        <f>重み!M94</f>
        <v>0.2</v>
      </c>
      <c r="K256" s="1046"/>
      <c r="L256" s="1048"/>
      <c r="M256" s="942"/>
      <c r="N256" s="942"/>
      <c r="O256" s="1208"/>
    </row>
    <row r="257" spans="2:15" ht="16.5" thickBot="1">
      <c r="D257" s="888"/>
      <c r="E257" s="893"/>
      <c r="F257" s="1140">
        <f>IF(K266&lt;&gt;0,ROUND((K267*K266)/K266,1),ROUND((G267*G266+I267*I266)/(G266+I266),1))</f>
        <v>3</v>
      </c>
      <c r="G257" s="1112" t="s">
        <v>303</v>
      </c>
      <c r="H257" s="1209"/>
      <c r="I257" s="1026" t="s">
        <v>304</v>
      </c>
      <c r="J257" s="1210"/>
      <c r="K257" s="3685" t="s">
        <v>305</v>
      </c>
      <c r="L257" s="3808"/>
      <c r="M257" s="942"/>
      <c r="N257" s="942"/>
      <c r="O257" s="942"/>
    </row>
    <row r="258" spans="2:15" ht="15.75">
      <c r="B258" s="1">
        <v>1</v>
      </c>
      <c r="C258" s="1">
        <v>1</v>
      </c>
      <c r="D258" s="888"/>
      <c r="E258" s="893"/>
      <c r="F258" s="917" t="str">
        <f>IF(F257=$S$15,$T$10,IF(ROUNDDOWN(F257,0)=$S$10,$U$10,$T$10))</f>
        <v>　レベル　1</v>
      </c>
      <c r="G258" s="3678" t="s">
        <v>306</v>
      </c>
      <c r="H258" s="3684"/>
      <c r="I258" s="3678" t="s">
        <v>652</v>
      </c>
      <c r="J258" s="3696"/>
      <c r="K258" s="3678" t="s">
        <v>1788</v>
      </c>
      <c r="L258" s="3684"/>
      <c r="M258" s="1005"/>
      <c r="N258" s="1005"/>
      <c r="O258" s="1005"/>
    </row>
    <row r="259" spans="2:15" ht="15.75">
      <c r="B259" s="1" t="s">
        <v>1787</v>
      </c>
      <c r="C259" s="1">
        <v>2</v>
      </c>
      <c r="D259" s="888"/>
      <c r="E259" s="893"/>
      <c r="F259" s="922" t="str">
        <f>IF(F257=$S$15,$T$11,IF(ROUNDDOWN(F257,0)=$S$11,$U$11,$T$11))</f>
        <v>　レベル　2</v>
      </c>
      <c r="G259" s="3682" t="s">
        <v>1788</v>
      </c>
      <c r="H259" s="3683"/>
      <c r="I259" s="3682" t="s">
        <v>1788</v>
      </c>
      <c r="J259" s="3683"/>
      <c r="K259" s="3682" t="s">
        <v>1788</v>
      </c>
      <c r="L259" s="3726"/>
      <c r="M259" s="1005"/>
      <c r="N259" s="1005"/>
      <c r="O259" s="1005"/>
    </row>
    <row r="260" spans="2:15" ht="37.5" customHeight="1">
      <c r="B260" s="1">
        <v>3</v>
      </c>
      <c r="C260" s="1">
        <v>3</v>
      </c>
      <c r="D260" s="888"/>
      <c r="E260" s="893"/>
      <c r="F260" s="922" t="str">
        <f>IF(F257=$S$15,$T$12,IF(ROUNDDOWN(F257,0)=$S$12,$U$12,$T$12))</f>
        <v>■レベル　3</v>
      </c>
      <c r="G260" s="3682" t="s">
        <v>313</v>
      </c>
      <c r="H260" s="3683"/>
      <c r="I260" s="3682" t="s">
        <v>313</v>
      </c>
      <c r="J260" s="3683"/>
      <c r="K260" s="3682" t="s">
        <v>314</v>
      </c>
      <c r="L260" s="3726"/>
      <c r="M260" s="1005"/>
      <c r="N260" s="1005"/>
      <c r="O260" s="1005"/>
    </row>
    <row r="261" spans="2:15" ht="15.75">
      <c r="B261" s="1">
        <v>4</v>
      </c>
      <c r="C261" s="1">
        <v>4</v>
      </c>
      <c r="D261" s="888"/>
      <c r="E261" s="893"/>
      <c r="F261" s="922" t="str">
        <f>IF(F257=$S$15,$T$13,IF(ROUNDDOWN(F257,0)=$S$13,$U$13,$T$13))</f>
        <v>　レベル　4</v>
      </c>
      <c r="G261" s="3682" t="s">
        <v>315</v>
      </c>
      <c r="H261" s="3683"/>
      <c r="I261" s="3682" t="s">
        <v>1788</v>
      </c>
      <c r="J261" s="3683"/>
      <c r="K261" s="3682" t="s">
        <v>316</v>
      </c>
      <c r="L261" s="3726"/>
      <c r="M261" s="1005"/>
      <c r="N261" s="1005"/>
      <c r="O261" s="1005"/>
    </row>
    <row r="262" spans="2:15" ht="16.5" thickBot="1">
      <c r="B262" s="1">
        <v>5</v>
      </c>
      <c r="C262" s="1">
        <v>5</v>
      </c>
      <c r="D262" s="888"/>
      <c r="E262" s="893"/>
      <c r="F262" s="933" t="str">
        <f>IF(F257=$S$15,$T$14,IF(ROUNDDOWN(F257,0)=$S$14,$U$14,$T$14))</f>
        <v>　レベル　5</v>
      </c>
      <c r="G262" s="3680" t="s">
        <v>317</v>
      </c>
      <c r="H262" s="3681"/>
      <c r="I262" s="3680" t="s">
        <v>318</v>
      </c>
      <c r="J262" s="3681"/>
      <c r="K262" s="3680" t="s">
        <v>319</v>
      </c>
      <c r="L262" s="3710"/>
      <c r="M262" s="1005"/>
      <c r="N262" s="1005"/>
      <c r="O262" s="1005"/>
    </row>
    <row r="263" spans="2:15" ht="16.5" thickBot="1">
      <c r="B263" s="940">
        <v>0</v>
      </c>
      <c r="C263" s="940">
        <v>0</v>
      </c>
      <c r="D263" s="888"/>
      <c r="E263" s="1215"/>
      <c r="F263" s="910">
        <v>0</v>
      </c>
      <c r="G263" s="994" t="s">
        <v>2193</v>
      </c>
      <c r="H263" s="995" t="s">
        <v>3822</v>
      </c>
      <c r="I263" s="1216"/>
      <c r="J263" s="1082"/>
      <c r="K263" s="942"/>
      <c r="L263" s="942"/>
      <c r="M263" s="942"/>
      <c r="N263" s="942"/>
      <c r="O263" s="942"/>
    </row>
    <row r="264" spans="2:15" ht="15.75">
      <c r="D264" s="990"/>
      <c r="E264" s="1211"/>
      <c r="F264" s="3041" t="s">
        <v>320</v>
      </c>
      <c r="G264" s="1213"/>
      <c r="H264" s="1213"/>
      <c r="I264" s="1213"/>
      <c r="J264" s="1214"/>
      <c r="K264" s="987"/>
      <c r="L264" s="987"/>
      <c r="M264" s="987"/>
      <c r="N264" s="987"/>
      <c r="O264" s="987"/>
    </row>
    <row r="265" spans="2:15" ht="15.75">
      <c r="D265" s="888"/>
      <c r="E265" s="1215"/>
      <c r="F265" s="1217" t="s">
        <v>321</v>
      </c>
      <c r="G265" s="1218" t="s">
        <v>322</v>
      </c>
      <c r="H265" s="1219"/>
      <c r="I265" s="1218" t="s">
        <v>323</v>
      </c>
      <c r="J265" s="1219"/>
      <c r="K265" s="3860" t="s">
        <v>324</v>
      </c>
      <c r="L265" s="3808"/>
      <c r="M265" s="942"/>
      <c r="N265" s="942"/>
      <c r="O265" s="942"/>
    </row>
    <row r="266" spans="2:15" ht="15.75">
      <c r="D266" s="888"/>
      <c r="E266" s="546"/>
      <c r="F266" s="1220" t="s">
        <v>325</v>
      </c>
      <c r="G266" s="1221">
        <f>IF(メイン!J66&gt;=2000,メイン!J47+メイン!J57+メイン!J61+メイン!J62+メイン!J60,0)</f>
        <v>20000</v>
      </c>
      <c r="H266" s="1222"/>
      <c r="I266" s="1221">
        <f>IF(メイン!J66&gt;=2000,メイン!J49+メイン!J54+メイン!J56+メイン!J64,0)</f>
        <v>320</v>
      </c>
      <c r="J266" s="1222"/>
      <c r="K266" s="1221">
        <f>IF(メイン!J66&lt;2000,メイン!J66,0)</f>
        <v>0</v>
      </c>
      <c r="L266" s="1222"/>
      <c r="M266" s="942"/>
      <c r="N266" s="942"/>
      <c r="O266" s="942"/>
    </row>
    <row r="267" spans="2:15" ht="16.5" thickBot="1">
      <c r="D267" s="888"/>
      <c r="E267" s="546"/>
      <c r="F267" s="1223" t="s">
        <v>326</v>
      </c>
      <c r="G267" s="3042">
        <f>IF(H263=T4,F263,IF(G272&lt;1,1,IF(G272=1,3,IF(G272=2,4,IF(G272&gt;=3,5)))))</f>
        <v>3</v>
      </c>
      <c r="H267" s="3043"/>
      <c r="I267" s="3042">
        <f>IF(H263=T4,F263,IF(G272&lt;1,1,IF(G272=1,3,IF(G272&gt;=2,5))))</f>
        <v>3</v>
      </c>
      <c r="J267" s="3043"/>
      <c r="K267" s="3042">
        <f>IF(H263=T4,F263,IF(G272=1,4,IF(G272&gt;=2,5,3)))</f>
        <v>4</v>
      </c>
      <c r="L267" s="3043"/>
      <c r="M267" s="942"/>
      <c r="N267" s="942"/>
      <c r="O267" s="942"/>
    </row>
    <row r="268" spans="2:15" ht="35.25" customHeight="1">
      <c r="D268" s="888"/>
      <c r="E268" s="1215"/>
      <c r="F268" s="1226"/>
      <c r="G268" s="3774" t="s">
        <v>465</v>
      </c>
      <c r="H268" s="3775"/>
      <c r="I268" s="3775"/>
      <c r="J268" s="3775"/>
      <c r="K268" s="3775"/>
      <c r="L268" s="3776"/>
      <c r="M268" s="942"/>
      <c r="N268" s="942"/>
      <c r="O268" s="942"/>
    </row>
    <row r="269" spans="2:15" ht="30.75" customHeight="1">
      <c r="D269" s="888"/>
      <c r="E269" s="546"/>
      <c r="F269" s="1229" t="s">
        <v>2196</v>
      </c>
      <c r="G269" s="3762" t="s">
        <v>466</v>
      </c>
      <c r="H269" s="3763"/>
      <c r="I269" s="3763"/>
      <c r="J269" s="3763"/>
      <c r="K269" s="3763"/>
      <c r="L269" s="3764"/>
      <c r="M269" s="942"/>
      <c r="N269" s="942"/>
      <c r="O269" s="942"/>
    </row>
    <row r="270" spans="2:15" ht="30.75" customHeight="1">
      <c r="D270" s="888"/>
      <c r="E270" s="546"/>
      <c r="F270" s="1229"/>
      <c r="G270" s="3762" t="s">
        <v>467</v>
      </c>
      <c r="H270" s="3763"/>
      <c r="I270" s="3763"/>
      <c r="J270" s="3763"/>
      <c r="K270" s="3763"/>
      <c r="L270" s="3764"/>
      <c r="M270" s="942"/>
      <c r="N270" s="942"/>
      <c r="O270" s="942"/>
    </row>
    <row r="271" spans="2:15" ht="35.25" customHeight="1" thickBot="1">
      <c r="D271" s="888"/>
      <c r="E271" s="546"/>
      <c r="F271" s="1230"/>
      <c r="G271" s="3827" t="s">
        <v>468</v>
      </c>
      <c r="H271" s="3861"/>
      <c r="I271" s="3861"/>
      <c r="J271" s="3861"/>
      <c r="K271" s="3861"/>
      <c r="L271" s="3862"/>
      <c r="M271" s="1208"/>
      <c r="N271" s="1208"/>
      <c r="O271" s="1208"/>
    </row>
    <row r="272" spans="2:15" ht="15.75">
      <c r="D272" s="888"/>
      <c r="E272" s="546"/>
      <c r="F272" s="3028" t="s">
        <v>32</v>
      </c>
      <c r="G272" s="3029">
        <f>COUNTIF(F268:F271,$S$3)</f>
        <v>1</v>
      </c>
      <c r="H272" s="3033"/>
      <c r="I272" s="3033"/>
      <c r="J272" s="3038"/>
      <c r="K272" s="3038"/>
      <c r="L272" s="3039"/>
      <c r="M272" s="1232"/>
      <c r="N272" s="1232"/>
      <c r="O272" s="1232"/>
    </row>
    <row r="273" spans="2:15" s="2445" customFormat="1" ht="15.75">
      <c r="D273" s="888"/>
      <c r="E273" s="546"/>
      <c r="F273" s="1231"/>
      <c r="G273" s="1232"/>
      <c r="H273" s="1232"/>
      <c r="I273" s="1232"/>
      <c r="J273" s="1232"/>
      <c r="K273" s="1231"/>
      <c r="L273" s="1232"/>
      <c r="M273" s="1232"/>
      <c r="N273" s="1232"/>
      <c r="O273" s="1232"/>
    </row>
    <row r="274" spans="2:15" ht="15.75">
      <c r="D274" s="888"/>
      <c r="E274" s="546"/>
      <c r="F274" s="1064" t="s">
        <v>469</v>
      </c>
      <c r="G274" s="1133"/>
      <c r="H274" s="1133"/>
      <c r="I274" s="1133"/>
      <c r="J274" s="1133" t="str">
        <f>IF(OR(F276=0,J275=0),$R$3,"")</f>
        <v/>
      </c>
      <c r="K274" s="1231"/>
      <c r="L274" s="1232"/>
      <c r="M274" s="1232"/>
      <c r="N274" s="1232"/>
      <c r="O274" s="1232"/>
    </row>
    <row r="275" spans="2:15" ht="16.5" thickBot="1">
      <c r="D275" s="888"/>
      <c r="E275" s="546"/>
      <c r="F275" s="1045"/>
      <c r="G275" s="904"/>
      <c r="H275" s="905"/>
      <c r="I275" s="906" t="s">
        <v>1121</v>
      </c>
      <c r="J275" s="909">
        <f>重み!M95</f>
        <v>0.2</v>
      </c>
      <c r="K275" s="1231"/>
      <c r="L275" s="1232"/>
      <c r="M275" s="1232"/>
      <c r="N275" s="1232"/>
      <c r="O275" s="1232"/>
    </row>
    <row r="276" spans="2:15" ht="16.5" thickBot="1">
      <c r="D276" s="888"/>
      <c r="E276" s="546"/>
      <c r="F276" s="1140">
        <f>ROUND((G286*G285+J286*J285)/(G285+J285),1)</f>
        <v>3</v>
      </c>
      <c r="G276" s="1112" t="s">
        <v>470</v>
      </c>
      <c r="H276" s="1209"/>
      <c r="I276" s="1026" t="s">
        <v>471</v>
      </c>
      <c r="J276" s="1210"/>
      <c r="K276" s="1231"/>
      <c r="L276" s="1232"/>
      <c r="M276" s="1232"/>
      <c r="N276" s="1232"/>
      <c r="O276" s="1232"/>
    </row>
    <row r="277" spans="2:15" ht="15.75" customHeight="1">
      <c r="B277" s="1">
        <v>1</v>
      </c>
      <c r="C277" s="1">
        <v>1</v>
      </c>
      <c r="D277" s="888"/>
      <c r="E277" s="546"/>
      <c r="F277" s="917" t="str">
        <f>IF(F276=$S$15,$T$10,IF(ROUNDDOWN(F276,0)=$S$10,$U$10,$T$10))</f>
        <v>　レベル　1</v>
      </c>
      <c r="G277" s="3678" t="s">
        <v>306</v>
      </c>
      <c r="H277" s="3684"/>
      <c r="I277" s="3678" t="s">
        <v>306</v>
      </c>
      <c r="J277" s="3696"/>
      <c r="K277" s="1231"/>
      <c r="L277" s="1232"/>
      <c r="M277" s="1232"/>
      <c r="N277" s="1232"/>
      <c r="O277" s="1232"/>
    </row>
    <row r="278" spans="2:15" ht="15.75" customHeight="1">
      <c r="B278" s="1">
        <v>2</v>
      </c>
      <c r="C278" s="1">
        <v>2</v>
      </c>
      <c r="D278" s="888"/>
      <c r="E278" s="546"/>
      <c r="F278" s="922" t="str">
        <f>IF(F276=$S$15,$T$11,IF(ROUNDDOWN(F276,0)=$S$11,$U$11,$T$11))</f>
        <v>　レベル　2</v>
      </c>
      <c r="G278" s="3682" t="s">
        <v>472</v>
      </c>
      <c r="H278" s="3683"/>
      <c r="I278" s="3682" t="s">
        <v>472</v>
      </c>
      <c r="J278" s="3683"/>
      <c r="K278" s="1231"/>
      <c r="L278" s="1232"/>
      <c r="M278" s="1232"/>
      <c r="N278" s="1232"/>
      <c r="O278" s="1232"/>
    </row>
    <row r="279" spans="2:15" ht="15.75" customHeight="1">
      <c r="B279" s="1">
        <v>3</v>
      </c>
      <c r="C279" s="1">
        <v>3</v>
      </c>
      <c r="D279" s="888"/>
      <c r="E279" s="546"/>
      <c r="F279" s="922" t="str">
        <f>IF(F276=$S$15,$T$12,IF(ROUNDDOWN(F276,0)=$S$12,$U$12,$T$12))</f>
        <v>■レベル　3</v>
      </c>
      <c r="G279" s="3682" t="s">
        <v>1479</v>
      </c>
      <c r="H279" s="3683"/>
      <c r="I279" s="3682" t="s">
        <v>1479</v>
      </c>
      <c r="J279" s="3683"/>
      <c r="K279" s="1231"/>
      <c r="L279" s="1232"/>
      <c r="M279" s="1232"/>
      <c r="N279" s="1232"/>
      <c r="O279" s="1232"/>
    </row>
    <row r="280" spans="2:15" ht="15.75">
      <c r="B280" s="1">
        <v>4</v>
      </c>
      <c r="C280" s="1">
        <v>4</v>
      </c>
      <c r="D280" s="888"/>
      <c r="E280" s="546"/>
      <c r="F280" s="922" t="str">
        <f>IF(F276=$S$15,$T$13,IF(ROUNDDOWN(F276,0)=$S$13,$U$13,$T$13))</f>
        <v>　レベル　4</v>
      </c>
      <c r="G280" s="3682" t="s">
        <v>29</v>
      </c>
      <c r="H280" s="3683"/>
      <c r="I280" s="3682" t="s">
        <v>1788</v>
      </c>
      <c r="J280" s="3683"/>
      <c r="K280" s="1231"/>
      <c r="L280" s="1232"/>
      <c r="M280" s="1232"/>
      <c r="N280" s="1232"/>
      <c r="O280" s="1232"/>
    </row>
    <row r="281" spans="2:15" ht="15.75" customHeight="1" thickBot="1">
      <c r="B281" s="1">
        <v>5</v>
      </c>
      <c r="C281" s="1">
        <v>5</v>
      </c>
      <c r="D281" s="888"/>
      <c r="E281" s="546"/>
      <c r="F281" s="933" t="str">
        <f>IF(F276=$S$15,$T$14,IF(ROUNDDOWN(F276,0)=$S$14,$U$14,$T$14))</f>
        <v>　レベル　5</v>
      </c>
      <c r="G281" s="3680" t="s">
        <v>30</v>
      </c>
      <c r="H281" s="3681"/>
      <c r="I281" s="3680" t="s">
        <v>31</v>
      </c>
      <c r="J281" s="3681"/>
      <c r="K281" s="1231"/>
      <c r="L281" s="1232"/>
      <c r="M281" s="1232"/>
      <c r="N281" s="1232"/>
      <c r="O281" s="1232"/>
    </row>
    <row r="282" spans="2:15" ht="16.5" thickBot="1">
      <c r="B282" s="940">
        <v>0</v>
      </c>
      <c r="C282" s="940">
        <v>0</v>
      </c>
      <c r="D282" s="888"/>
      <c r="E282" s="546"/>
      <c r="F282" s="910">
        <v>0</v>
      </c>
      <c r="G282" s="994" t="s">
        <v>2193</v>
      </c>
      <c r="H282" s="995" t="s">
        <v>3822</v>
      </c>
      <c r="I282" s="1206"/>
      <c r="J282" s="1216"/>
      <c r="K282" s="1231"/>
      <c r="L282" s="1232"/>
      <c r="M282" s="1232"/>
      <c r="N282" s="1232"/>
      <c r="O282" s="1232"/>
    </row>
    <row r="283" spans="2:15" ht="15.75">
      <c r="D283" s="888"/>
      <c r="E283" s="546"/>
      <c r="F283" s="1212" t="s">
        <v>2203</v>
      </c>
      <c r="G283" s="1214"/>
      <c r="H283" s="1213"/>
      <c r="I283" s="1214"/>
      <c r="J283" s="1213"/>
      <c r="K283" s="1231"/>
      <c r="L283" s="1232"/>
      <c r="M283" s="1232"/>
      <c r="N283" s="1232"/>
      <c r="O283" s="1232"/>
    </row>
    <row r="284" spans="2:15" ht="15.75">
      <c r="D284" s="888"/>
      <c r="E284" s="546"/>
      <c r="F284" s="1233" t="s">
        <v>321</v>
      </c>
      <c r="G284" s="1218" t="s">
        <v>1480</v>
      </c>
      <c r="H284" s="1219"/>
      <c r="I284" s="1219"/>
      <c r="J284" s="1218" t="s">
        <v>1291</v>
      </c>
      <c r="K284" s="1219"/>
      <c r="L284" s="1219"/>
      <c r="M284" s="1232"/>
      <c r="N284" s="1232"/>
      <c r="O284" s="1232"/>
    </row>
    <row r="285" spans="2:15" ht="15.75">
      <c r="D285" s="888"/>
      <c r="E285" s="546"/>
      <c r="F285" s="1220" t="s">
        <v>325</v>
      </c>
      <c r="G285" s="1221">
        <f>メイン!J47+メイン!J49+メイン!J57+メイン!J61+メイン!J62+メイン!J64+メイン!J60</f>
        <v>20320</v>
      </c>
      <c r="H285" s="1234"/>
      <c r="I285" s="1222"/>
      <c r="J285" s="1221">
        <f>メイン!J54+メイン!J56</f>
        <v>0</v>
      </c>
      <c r="K285" s="1234"/>
      <c r="L285" s="1222"/>
      <c r="M285" s="1232"/>
      <c r="N285" s="1232"/>
      <c r="O285" s="1232"/>
    </row>
    <row r="286" spans="2:15" ht="16.5" thickBot="1">
      <c r="D286" s="888"/>
      <c r="E286" s="546"/>
      <c r="F286" s="1223" t="s">
        <v>326</v>
      </c>
      <c r="G286" s="1224">
        <f>IF(H282=T4,F282,IF(G294&lt;1,1,IF(G294=1,2,IF(G294=2,3,IF(G294=3,4,5)))))</f>
        <v>3</v>
      </c>
      <c r="H286" s="1225"/>
      <c r="I286" s="1225"/>
      <c r="J286" s="1224">
        <f>IF(H282=T4,F282,IF(J294&lt;1,1,IF(J294=1,2,IF(J294=2,3,5))))</f>
        <v>3</v>
      </c>
      <c r="K286" s="1225"/>
      <c r="L286" s="1225"/>
      <c r="M286" s="1232"/>
      <c r="N286" s="1232"/>
      <c r="O286" s="1232"/>
    </row>
    <row r="287" spans="2:15" ht="45" customHeight="1">
      <c r="D287" s="888"/>
      <c r="E287" s="546"/>
      <c r="F287" s="1226" t="s">
        <v>2196</v>
      </c>
      <c r="G287" s="3774" t="s">
        <v>2821</v>
      </c>
      <c r="H287" s="3775"/>
      <c r="I287" s="3775"/>
      <c r="J287" s="3775"/>
      <c r="K287" s="3775"/>
      <c r="L287" s="3776"/>
      <c r="M287" s="1232"/>
      <c r="N287" s="1232"/>
      <c r="O287" s="1232"/>
    </row>
    <row r="288" spans="2:15" ht="15.75" customHeight="1">
      <c r="D288" s="888"/>
      <c r="E288" s="546"/>
      <c r="F288" s="1229"/>
      <c r="G288" s="3762" t="s">
        <v>473</v>
      </c>
      <c r="H288" s="3763"/>
      <c r="I288" s="3763"/>
      <c r="J288" s="3763"/>
      <c r="K288" s="3763"/>
      <c r="L288" s="3764"/>
      <c r="M288" s="1232"/>
      <c r="N288" s="1232"/>
      <c r="O288" s="1232"/>
    </row>
    <row r="289" spans="2:15" ht="31.5" customHeight="1">
      <c r="D289" s="888"/>
      <c r="E289" s="546"/>
      <c r="F289" s="1229"/>
      <c r="G289" s="3762" t="s">
        <v>2822</v>
      </c>
      <c r="H289" s="3763"/>
      <c r="I289" s="3763"/>
      <c r="J289" s="3763"/>
      <c r="K289" s="3763"/>
      <c r="L289" s="3764"/>
      <c r="M289" s="1232"/>
      <c r="N289" s="1232"/>
      <c r="O289" s="1232"/>
    </row>
    <row r="290" spans="2:15" ht="15.75" customHeight="1">
      <c r="D290" s="888"/>
      <c r="E290" s="546"/>
      <c r="F290" s="1229" t="s">
        <v>2196</v>
      </c>
      <c r="G290" s="3762" t="s">
        <v>474</v>
      </c>
      <c r="H290" s="3763"/>
      <c r="I290" s="3763"/>
      <c r="J290" s="3763"/>
      <c r="K290" s="3763"/>
      <c r="L290" s="3764"/>
      <c r="M290" s="1232"/>
      <c r="N290" s="1232"/>
      <c r="O290" s="1232"/>
    </row>
    <row r="291" spans="2:15" ht="15.75" customHeight="1">
      <c r="D291" s="888"/>
      <c r="E291" s="546"/>
      <c r="F291" s="1229"/>
      <c r="G291" s="3762" t="s">
        <v>475</v>
      </c>
      <c r="H291" s="3763"/>
      <c r="I291" s="3763"/>
      <c r="J291" s="3763"/>
      <c r="K291" s="3763"/>
      <c r="L291" s="3764"/>
      <c r="M291" s="1232"/>
      <c r="N291" s="1232"/>
      <c r="O291" s="1232"/>
    </row>
    <row r="292" spans="2:15" ht="36.75" customHeight="1">
      <c r="D292" s="888"/>
      <c r="E292" s="546"/>
      <c r="F292" s="1229"/>
      <c r="G292" s="3762" t="s">
        <v>1481</v>
      </c>
      <c r="H292" s="3763"/>
      <c r="I292" s="3763"/>
      <c r="J292" s="3763"/>
      <c r="K292" s="3763"/>
      <c r="L292" s="3764"/>
      <c r="M292" s="1232"/>
      <c r="N292" s="1232"/>
      <c r="O292" s="1232"/>
    </row>
    <row r="293" spans="2:15" ht="20.25" customHeight="1" thickBot="1">
      <c r="D293" s="888"/>
      <c r="E293" s="546"/>
      <c r="F293" s="2120"/>
      <c r="G293" s="3823" t="s">
        <v>28</v>
      </c>
      <c r="H293" s="3824"/>
      <c r="I293" s="3824"/>
      <c r="J293" s="3824"/>
      <c r="K293" s="3824"/>
      <c r="L293" s="3825"/>
      <c r="M293" s="1232"/>
      <c r="N293" s="1232"/>
      <c r="O293" s="1232"/>
    </row>
    <row r="294" spans="2:15" ht="15.75">
      <c r="D294" s="888"/>
      <c r="E294" s="546"/>
      <c r="F294" s="2122" t="s">
        <v>32</v>
      </c>
      <c r="G294" s="2121">
        <f>COUNTIF(F287:F293,$S$3)</f>
        <v>2</v>
      </c>
      <c r="H294" s="1225"/>
      <c r="I294" s="1225"/>
      <c r="J294" s="2121">
        <f>G294-COUNTIF(F292,$S$3)</f>
        <v>2</v>
      </c>
      <c r="K294" s="1225"/>
      <c r="L294" s="1225"/>
      <c r="M294" s="1232"/>
      <c r="N294" s="1232"/>
      <c r="O294" s="1232"/>
    </row>
    <row r="295" spans="2:15" ht="15.75">
      <c r="D295" s="888"/>
      <c r="E295" s="546"/>
      <c r="F295" s="1231"/>
      <c r="G295" s="1232"/>
      <c r="H295" s="1232"/>
      <c r="I295" s="1232"/>
      <c r="J295" s="1232"/>
      <c r="K295" s="1231"/>
      <c r="L295" s="1232"/>
      <c r="M295" s="1232"/>
      <c r="N295" s="1232"/>
      <c r="O295" s="1232"/>
    </row>
    <row r="296" spans="2:15" ht="15.75">
      <c r="D296" s="888"/>
      <c r="E296" s="546"/>
      <c r="F296" s="1064" t="s">
        <v>1482</v>
      </c>
      <c r="G296" s="1133"/>
      <c r="H296" s="1133"/>
      <c r="I296" s="1133"/>
      <c r="J296" s="1133" t="str">
        <f>IF(OR(F298=0,J297=0),$R$3,"")</f>
        <v/>
      </c>
      <c r="K296" s="1132"/>
      <c r="L296" s="1132"/>
      <c r="M296" s="1232"/>
      <c r="N296" s="1232"/>
      <c r="O296" s="1232"/>
    </row>
    <row r="297" spans="2:15" ht="16.5" thickBot="1">
      <c r="D297" s="888"/>
      <c r="E297" s="1207"/>
      <c r="F297" s="1045"/>
      <c r="G297" s="904"/>
      <c r="H297" s="905"/>
      <c r="I297" s="906" t="s">
        <v>1121</v>
      </c>
      <c r="J297" s="907">
        <f>重み!M96</f>
        <v>0.2</v>
      </c>
      <c r="K297" s="1046"/>
      <c r="L297" s="1046"/>
      <c r="M297" s="1046"/>
      <c r="N297" s="1048"/>
      <c r="O297" s="942"/>
    </row>
    <row r="298" spans="2:15" ht="16.5" thickBot="1">
      <c r="D298" s="888"/>
      <c r="E298" s="1207"/>
      <c r="F298" s="1140">
        <f>IF(メイン!J66&gt;2000,G307,K307)</f>
        <v>3</v>
      </c>
      <c r="G298" s="1112" t="s">
        <v>662</v>
      </c>
      <c r="H298" s="1209"/>
      <c r="I298" s="1026"/>
      <c r="J298" s="1244"/>
      <c r="K298" s="2124" t="s">
        <v>35</v>
      </c>
      <c r="L298" s="1209"/>
      <c r="M298" s="1026"/>
      <c r="N298" s="1210"/>
      <c r="O298" s="942"/>
    </row>
    <row r="299" spans="2:15" ht="15.75" customHeight="1">
      <c r="B299" s="1">
        <v>1</v>
      </c>
      <c r="C299" s="1">
        <v>1</v>
      </c>
      <c r="D299" s="888"/>
      <c r="E299" s="1039"/>
      <c r="F299" s="917" t="str">
        <f>IF(F298=$S$15,$T$10,IF(ROUNDDOWN(F298,0)=$S$10,$U$10,$T$10))</f>
        <v>　レベル　1</v>
      </c>
      <c r="G299" s="3772" t="s">
        <v>306</v>
      </c>
      <c r="H299" s="3773"/>
      <c r="I299" s="3773"/>
      <c r="J299" s="3826"/>
      <c r="K299" s="3772" t="s">
        <v>276</v>
      </c>
      <c r="L299" s="3773"/>
      <c r="M299" s="3773"/>
      <c r="N299" s="3826"/>
      <c r="O299" s="942"/>
    </row>
    <row r="300" spans="2:15" ht="15.75" customHeight="1">
      <c r="B300" s="1" t="s">
        <v>1913</v>
      </c>
      <c r="C300" s="1">
        <v>2</v>
      </c>
      <c r="D300" s="888"/>
      <c r="E300" s="1039"/>
      <c r="F300" s="922" t="str">
        <f>IF(F298=$S$15,$T$11,IF(ROUNDDOWN(F298,0)=$S$11,$U$11,$T$11))</f>
        <v>　レベル　2</v>
      </c>
      <c r="G300" s="3768" t="s">
        <v>1788</v>
      </c>
      <c r="H300" s="3769"/>
      <c r="I300" s="3770"/>
      <c r="J300" s="3771"/>
      <c r="K300" s="3768" t="s">
        <v>1788</v>
      </c>
      <c r="L300" s="3769"/>
      <c r="M300" s="3770"/>
      <c r="N300" s="3771"/>
      <c r="O300" s="942"/>
    </row>
    <row r="301" spans="2:15" ht="15.75" customHeight="1">
      <c r="B301" s="1">
        <v>3</v>
      </c>
      <c r="C301" s="1">
        <v>3</v>
      </c>
      <c r="D301" s="888"/>
      <c r="E301" s="1039"/>
      <c r="F301" s="922" t="str">
        <f>IF(F298=$S$15,$T$12,IF(ROUNDDOWN(F298,0)=$S$12,$U$12,$T$12))</f>
        <v>■レベル　3</v>
      </c>
      <c r="G301" s="3768" t="s">
        <v>36</v>
      </c>
      <c r="H301" s="3769"/>
      <c r="I301" s="3770"/>
      <c r="J301" s="3771"/>
      <c r="K301" s="3768" t="s">
        <v>42</v>
      </c>
      <c r="L301" s="3769"/>
      <c r="M301" s="3770"/>
      <c r="N301" s="3771"/>
      <c r="O301" s="942"/>
    </row>
    <row r="302" spans="2:15" ht="15.75" customHeight="1">
      <c r="B302" s="1">
        <v>4</v>
      </c>
      <c r="C302" s="1">
        <v>4</v>
      </c>
      <c r="D302" s="888"/>
      <c r="E302" s="1039"/>
      <c r="F302" s="922" t="str">
        <f>IF(F298=$S$15,$T$13,IF(ROUNDDOWN(F298,0)=$S$13,$U$13,$T$13))</f>
        <v>　レベル　4</v>
      </c>
      <c r="G302" s="3768" t="s">
        <v>29</v>
      </c>
      <c r="H302" s="3769"/>
      <c r="I302" s="3770"/>
      <c r="J302" s="3771"/>
      <c r="K302" s="3768" t="s">
        <v>43</v>
      </c>
      <c r="L302" s="3769"/>
      <c r="M302" s="3770"/>
      <c r="N302" s="3771"/>
      <c r="O302" s="942"/>
    </row>
    <row r="303" spans="2:15" ht="15.75" customHeight="1" thickBot="1">
      <c r="B303" s="1">
        <v>5</v>
      </c>
      <c r="C303" s="1">
        <v>5</v>
      </c>
      <c r="D303" s="888"/>
      <c r="E303" s="1039"/>
      <c r="F303" s="933" t="str">
        <f>IF(F298=$S$15,$T$14,IF(ROUNDDOWN(F298,0)=$S$14,$U$14,$T$14))</f>
        <v>　レベル　5</v>
      </c>
      <c r="G303" s="3819" t="s">
        <v>30</v>
      </c>
      <c r="H303" s="3820"/>
      <c r="I303" s="3821"/>
      <c r="J303" s="3822"/>
      <c r="K303" s="3819" t="s">
        <v>44</v>
      </c>
      <c r="L303" s="3820"/>
      <c r="M303" s="3821"/>
      <c r="N303" s="3822"/>
      <c r="O303" s="942"/>
    </row>
    <row r="304" spans="2:15" ht="16.5" thickBot="1">
      <c r="B304" s="940">
        <v>0</v>
      </c>
      <c r="C304" s="940">
        <v>0</v>
      </c>
      <c r="D304" s="888"/>
      <c r="E304" s="546"/>
      <c r="F304" s="910">
        <v>0</v>
      </c>
      <c r="G304" s="994" t="s">
        <v>2193</v>
      </c>
      <c r="H304" s="995" t="s">
        <v>3822</v>
      </c>
      <c r="I304" s="1082"/>
      <c r="J304" s="1216"/>
      <c r="K304" s="1206"/>
      <c r="L304" s="1206"/>
      <c r="M304" s="1096"/>
      <c r="N304" s="1096"/>
      <c r="O304" s="1096"/>
    </row>
    <row r="305" spans="2:15" ht="15.75">
      <c r="D305" s="990"/>
      <c r="E305" s="1236"/>
      <c r="F305" s="1212" t="s">
        <v>2203</v>
      </c>
      <c r="G305" s="1214"/>
      <c r="H305" s="1213"/>
      <c r="I305" s="1214"/>
      <c r="J305" s="1213"/>
      <c r="K305" s="1214"/>
      <c r="L305" s="1214"/>
      <c r="M305" s="986"/>
      <c r="N305" s="986"/>
      <c r="O305" s="986"/>
    </row>
    <row r="306" spans="2:15" ht="15.75">
      <c r="D306" s="888"/>
      <c r="E306" s="546"/>
      <c r="F306" s="1237" t="s">
        <v>1483</v>
      </c>
      <c r="G306" s="1218" t="s">
        <v>40</v>
      </c>
      <c r="H306" s="1238"/>
      <c r="I306" s="1218"/>
      <c r="J306" s="1238"/>
      <c r="K306" s="1218" t="s">
        <v>41</v>
      </c>
      <c r="L306" s="1238"/>
      <c r="M306" s="1218"/>
      <c r="N306" s="1238"/>
      <c r="O306" s="1096"/>
    </row>
    <row r="307" spans="2:15" ht="16.5" thickBot="1">
      <c r="D307" s="888"/>
      <c r="E307" s="546"/>
      <c r="F307" s="1239" t="s">
        <v>326</v>
      </c>
      <c r="G307" s="1240">
        <f>IF(H304=T4,F304,IF(G314&lt;1,1,IF(G314&lt;=2,3,IF(G314=3,4,IF(G314&gt;=4,5)))))</f>
        <v>3</v>
      </c>
      <c r="H307" s="1241"/>
      <c r="I307" s="1240"/>
      <c r="J307" s="1241"/>
      <c r="K307" s="1240">
        <f>IF(H304=T4,F304,IF(K314=1,4,IF(K314&gt;=2,5,3)))</f>
        <v>5</v>
      </c>
      <c r="L307" s="1241"/>
      <c r="M307" s="1240"/>
      <c r="N307" s="1241"/>
      <c r="O307" s="1096"/>
    </row>
    <row r="308" spans="2:15" ht="15.75" customHeight="1">
      <c r="D308" s="888"/>
      <c r="E308" s="1215"/>
      <c r="F308" s="1226" t="s">
        <v>2196</v>
      </c>
      <c r="G308" s="3828" t="s">
        <v>33</v>
      </c>
      <c r="H308" s="3829"/>
      <c r="I308" s="3829"/>
      <c r="J308" s="3829"/>
      <c r="K308" s="3829"/>
      <c r="L308" s="3829"/>
      <c r="M308" s="3829"/>
      <c r="N308" s="3830"/>
      <c r="O308" s="1096"/>
    </row>
    <row r="309" spans="2:15" ht="15.75" customHeight="1">
      <c r="D309" s="888"/>
      <c r="E309" s="1215"/>
      <c r="F309" s="1229" t="s">
        <v>2196</v>
      </c>
      <c r="G309" s="3765" t="s">
        <v>476</v>
      </c>
      <c r="H309" s="3763"/>
      <c r="I309" s="3763"/>
      <c r="J309" s="3763"/>
      <c r="K309" s="3763"/>
      <c r="L309" s="3763"/>
      <c r="M309" s="3763"/>
      <c r="N309" s="3764"/>
      <c r="O309" s="1096"/>
    </row>
    <row r="310" spans="2:15" ht="15.75">
      <c r="D310" s="888"/>
      <c r="E310" s="1215"/>
      <c r="F310" s="1229"/>
      <c r="G310" s="3765" t="s">
        <v>37</v>
      </c>
      <c r="H310" s="3763"/>
      <c r="I310" s="3763"/>
      <c r="J310" s="3763"/>
      <c r="K310" s="3763"/>
      <c r="L310" s="3763"/>
      <c r="M310" s="3763"/>
      <c r="N310" s="3764"/>
      <c r="O310" s="1096"/>
    </row>
    <row r="311" spans="2:15" ht="72.75" customHeight="1">
      <c r="B311" s="1616"/>
      <c r="C311" s="1616"/>
      <c r="D311" s="888"/>
      <c r="E311" s="1215"/>
      <c r="F311" s="2119"/>
      <c r="G311" s="3762" t="s">
        <v>2823</v>
      </c>
      <c r="H311" s="3763"/>
      <c r="I311" s="3763"/>
      <c r="J311" s="3763"/>
      <c r="K311" s="3763"/>
      <c r="L311" s="3763"/>
      <c r="M311" s="3763"/>
      <c r="N311" s="3764"/>
      <c r="O311" s="1096"/>
    </row>
    <row r="312" spans="2:15" ht="15.75">
      <c r="B312" s="1616"/>
      <c r="C312" s="1616"/>
      <c r="D312" s="888"/>
      <c r="E312" s="1215"/>
      <c r="F312" s="2119"/>
      <c r="G312" s="3765" t="s">
        <v>38</v>
      </c>
      <c r="H312" s="3763"/>
      <c r="I312" s="3763"/>
      <c r="J312" s="3763"/>
      <c r="K312" s="3763"/>
      <c r="L312" s="3763"/>
      <c r="M312" s="3763"/>
      <c r="N312" s="3764"/>
      <c r="O312" s="1096"/>
    </row>
    <row r="313" spans="2:15" ht="16.5" thickBot="1">
      <c r="D313" s="888"/>
      <c r="E313" s="1215"/>
      <c r="F313" s="1235"/>
      <c r="G313" s="3827" t="s">
        <v>39</v>
      </c>
      <c r="H313" s="3727"/>
      <c r="I313" s="3727"/>
      <c r="J313" s="3727"/>
      <c r="K313" s="3727"/>
      <c r="L313" s="3727"/>
      <c r="M313" s="3727"/>
      <c r="N313" s="3728"/>
      <c r="O313" s="1096"/>
    </row>
    <row r="314" spans="2:15" ht="15.75">
      <c r="D314" s="888"/>
      <c r="E314" s="546"/>
      <c r="F314" s="2122" t="s">
        <v>32</v>
      </c>
      <c r="G314" s="3044">
        <f>COUNTIF(F308:F313,$S$3)</f>
        <v>2</v>
      </c>
      <c r="H314" s="3044"/>
      <c r="I314" s="3044"/>
      <c r="J314" s="3044"/>
      <c r="K314" s="3045">
        <f>COUNTIF(F312:F313,$S$3)+COUNTIF(F308:F310,$S$3)</f>
        <v>2</v>
      </c>
      <c r="L314" s="3044"/>
      <c r="M314" s="3044"/>
      <c r="N314" s="3046"/>
      <c r="O314" s="1096"/>
    </row>
    <row r="315" spans="2:15" s="2445" customFormat="1" ht="15.75">
      <c r="D315" s="888"/>
      <c r="E315" s="546"/>
      <c r="F315" s="1082"/>
      <c r="G315" s="1243"/>
      <c r="H315" s="1243"/>
      <c r="I315" s="1243"/>
      <c r="J315" s="1231"/>
      <c r="K315" s="1243"/>
      <c r="L315" s="1243"/>
      <c r="M315" s="1096"/>
      <c r="N315" s="1096"/>
      <c r="O315" s="1096"/>
    </row>
    <row r="316" spans="2:15" ht="15.75">
      <c r="D316" s="888"/>
      <c r="E316" s="546"/>
      <c r="F316" s="1064" t="s">
        <v>477</v>
      </c>
      <c r="G316" s="1133"/>
      <c r="H316" s="1133"/>
      <c r="I316" s="1133"/>
      <c r="J316" s="979" t="str">
        <f>IF(OR(F318=0,J317=0),$R$3,"")</f>
        <v/>
      </c>
      <c r="K316" s="1243"/>
      <c r="L316" s="1243"/>
      <c r="M316" s="1096"/>
      <c r="N316" s="1096"/>
      <c r="O316" s="1096"/>
    </row>
    <row r="317" spans="2:15" ht="16.5" thickBot="1">
      <c r="D317" s="888"/>
      <c r="E317" s="546"/>
      <c r="F317" s="1045"/>
      <c r="G317" s="904"/>
      <c r="H317" s="905"/>
      <c r="I317" s="906" t="s">
        <v>1121</v>
      </c>
      <c r="J317" s="907">
        <f>重み!M97</f>
        <v>0.2</v>
      </c>
      <c r="K317" s="1046"/>
      <c r="L317" s="1046"/>
      <c r="M317" s="1046"/>
      <c r="N317" s="1046"/>
      <c r="O317" s="916"/>
    </row>
    <row r="318" spans="2:15" ht="16.5" thickBot="1">
      <c r="D318" s="888"/>
      <c r="E318" s="546"/>
      <c r="F318" s="910">
        <v>3</v>
      </c>
      <c r="G318" s="914" t="s">
        <v>662</v>
      </c>
      <c r="H318" s="915"/>
      <c r="I318" s="915"/>
      <c r="J318" s="915"/>
      <c r="K318" s="915"/>
      <c r="L318" s="1244"/>
      <c r="M318" s="915"/>
      <c r="N318" s="915"/>
      <c r="O318" s="916"/>
    </row>
    <row r="319" spans="2:15" ht="15.75" customHeight="1">
      <c r="B319" s="1">
        <v>1</v>
      </c>
      <c r="C319" s="1">
        <v>1</v>
      </c>
      <c r="D319" s="888"/>
      <c r="E319" s="546"/>
      <c r="F319" s="917" t="str">
        <f>IF(F318=$S$15,$T$10,IF(ROUNDDOWN(F318,0)=$S$10,$U$10,$T$10))</f>
        <v>　レベル　1</v>
      </c>
      <c r="G319" s="919" t="s">
        <v>312</v>
      </c>
      <c r="H319" s="920"/>
      <c r="I319" s="920"/>
      <c r="J319" s="920"/>
      <c r="K319" s="920"/>
      <c r="L319" s="1245"/>
      <c r="M319" s="920"/>
      <c r="N319" s="920"/>
      <c r="O319" s="921"/>
    </row>
    <row r="320" spans="2:15" ht="15.75" customHeight="1">
      <c r="B320" s="1" t="s">
        <v>1246</v>
      </c>
      <c r="C320" s="1">
        <v>2</v>
      </c>
      <c r="D320" s="888"/>
      <c r="E320" s="546"/>
      <c r="F320" s="922" t="str">
        <f>IF(F318=$S$15,$T$11,IF(ROUNDDOWN(F318,0)=$S$11,$U$11,$T$11))</f>
        <v>　レベル　2</v>
      </c>
      <c r="G320" s="926" t="s">
        <v>1788</v>
      </c>
      <c r="H320" s="927"/>
      <c r="I320" s="927"/>
      <c r="J320" s="927"/>
      <c r="K320" s="927"/>
      <c r="L320" s="1246"/>
      <c r="M320" s="927"/>
      <c r="N320" s="927"/>
      <c r="O320" s="928"/>
    </row>
    <row r="321" spans="2:15" ht="15.75">
      <c r="B321" s="1">
        <v>3</v>
      </c>
      <c r="C321" s="1">
        <v>3</v>
      </c>
      <c r="D321" s="888"/>
      <c r="E321" s="546"/>
      <c r="F321" s="922" t="str">
        <f>IF(F318=$S$15,$T$12,IF(ROUNDDOWN(F318,0)=$S$12,$U$12,$T$12))</f>
        <v>■レベル　3</v>
      </c>
      <c r="G321" s="926" t="s">
        <v>2824</v>
      </c>
      <c r="H321" s="927"/>
      <c r="I321" s="927"/>
      <c r="J321" s="927"/>
      <c r="K321" s="927"/>
      <c r="L321" s="1246"/>
      <c r="M321" s="927"/>
      <c r="N321" s="927"/>
      <c r="O321" s="928"/>
    </row>
    <row r="322" spans="2:15" ht="15.75">
      <c r="B322" s="1">
        <v>4</v>
      </c>
      <c r="C322" s="1">
        <v>4</v>
      </c>
      <c r="D322" s="888"/>
      <c r="E322" s="546"/>
      <c r="F322" s="922" t="str">
        <f>IF(F318=$S$15,$T$13,IF(ROUNDDOWN(F318,0)=$S$13,$U$13,$T$13))</f>
        <v>　レベル　4</v>
      </c>
      <c r="G322" s="926" t="s">
        <v>2825</v>
      </c>
      <c r="H322" s="927"/>
      <c r="I322" s="927"/>
      <c r="J322" s="927"/>
      <c r="K322" s="927"/>
      <c r="L322" s="1246"/>
      <c r="M322" s="927"/>
      <c r="N322" s="927"/>
      <c r="O322" s="928"/>
    </row>
    <row r="323" spans="2:15" ht="15.75">
      <c r="B323" s="1">
        <v>5</v>
      </c>
      <c r="C323" s="1">
        <v>5</v>
      </c>
      <c r="D323" s="888"/>
      <c r="E323" s="546"/>
      <c r="F323" s="933" t="str">
        <f>IF(F318=$S$15,$T$14,IF(ROUNDDOWN(F318,0)=$S$14,$U$14,$T$14))</f>
        <v>　レベル　5</v>
      </c>
      <c r="G323" s="937" t="s">
        <v>3832</v>
      </c>
      <c r="H323" s="938"/>
      <c r="I323" s="938"/>
      <c r="J323" s="938"/>
      <c r="K323" s="938"/>
      <c r="L323" s="1247"/>
      <c r="M323" s="938"/>
      <c r="N323" s="938"/>
      <c r="O323" s="939"/>
    </row>
    <row r="324" spans="2:15" ht="15.75">
      <c r="B324" s="940">
        <v>0</v>
      </c>
      <c r="C324" s="940">
        <v>0</v>
      </c>
      <c r="D324" s="888"/>
      <c r="E324" s="546"/>
      <c r="F324" s="1082"/>
      <c r="G324" s="1243"/>
      <c r="H324" s="1243"/>
      <c r="I324" s="1243"/>
      <c r="J324" s="1231"/>
      <c r="K324" s="1243"/>
      <c r="L324" s="1243"/>
      <c r="M324" s="1096"/>
      <c r="N324" s="1096"/>
      <c r="O324" s="1096"/>
    </row>
    <row r="325" spans="2:15" ht="15.75">
      <c r="D325" s="888"/>
      <c r="E325" s="546"/>
      <c r="F325" s="1064" t="s">
        <v>478</v>
      </c>
      <c r="G325" s="1133"/>
      <c r="H325" s="1133"/>
      <c r="I325" s="1133"/>
      <c r="J325" s="1133" t="str">
        <f>IF(OR(F327=0,J326=0),$R$3,"")</f>
        <v/>
      </c>
      <c r="K325" s="1132"/>
      <c r="L325" s="1132"/>
      <c r="M325" s="1096"/>
      <c r="N325" s="1096"/>
      <c r="O325" s="1096"/>
    </row>
    <row r="326" spans="2:15" ht="16.5" thickBot="1">
      <c r="D326" s="888"/>
      <c r="E326" s="1207"/>
      <c r="F326" s="1045"/>
      <c r="G326" s="904"/>
      <c r="H326" s="905"/>
      <c r="I326" s="906" t="s">
        <v>1121</v>
      </c>
      <c r="J326" s="907">
        <f>重み!M98</f>
        <v>0.2</v>
      </c>
      <c r="K326" s="1046"/>
      <c r="L326" s="1046"/>
      <c r="M326" s="1046"/>
      <c r="N326" s="1046"/>
      <c r="O326" s="916"/>
    </row>
    <row r="327" spans="2:15" ht="16.5" thickBot="1">
      <c r="D327" s="888"/>
      <c r="E327" s="1207"/>
      <c r="F327" s="1248">
        <f>IF(H333=T4,F333,IF(G342&lt;1,1,IF(COUNTIF(F336:F341,$S$3)=1,2,IF(G342=2,3,IF(G342=3,4,5)))))</f>
        <v>3</v>
      </c>
      <c r="G327" s="1112" t="s">
        <v>662</v>
      </c>
      <c r="H327" s="1209"/>
      <c r="I327" s="1249"/>
      <c r="J327" s="1210"/>
      <c r="K327" s="915"/>
      <c r="L327" s="1244"/>
      <c r="M327" s="915"/>
      <c r="N327" s="915"/>
      <c r="O327" s="916"/>
    </row>
    <row r="328" spans="2:15" ht="15.75">
      <c r="B328" s="1">
        <v>1</v>
      </c>
      <c r="C328" s="1">
        <v>1</v>
      </c>
      <c r="D328" s="888"/>
      <c r="E328" s="1136"/>
      <c r="F328" s="917" t="str">
        <f>IF(F327=$S$15,$T$10,IF(ROUNDDOWN(F327,0)=$S$10,$U$10,$T$10))</f>
        <v>　レベル　1</v>
      </c>
      <c r="G328" s="2117" t="s">
        <v>306</v>
      </c>
      <c r="H328" s="1245"/>
      <c r="I328" s="1245"/>
      <c r="J328" s="1245"/>
      <c r="K328" s="920"/>
      <c r="L328" s="1245"/>
      <c r="M328" s="920"/>
      <c r="N328" s="920"/>
      <c r="O328" s="921"/>
    </row>
    <row r="329" spans="2:15" ht="15.75" customHeight="1">
      <c r="B329" s="1">
        <v>2</v>
      </c>
      <c r="C329" s="1">
        <v>2</v>
      </c>
      <c r="D329" s="888"/>
      <c r="E329" s="1136"/>
      <c r="F329" s="922" t="str">
        <f>IF(F327=$S$15,$T$11,IF(ROUNDDOWN(F327,0)=$S$11,$U$11,$T$11))</f>
        <v>　レベル　2</v>
      </c>
      <c r="G329" s="1083" t="s">
        <v>43</v>
      </c>
      <c r="H329" s="1246"/>
      <c r="I329" s="1246"/>
      <c r="J329" s="1246"/>
      <c r="K329" s="927"/>
      <c r="L329" s="1246"/>
      <c r="M329" s="927"/>
      <c r="N329" s="927"/>
      <c r="O329" s="928"/>
    </row>
    <row r="330" spans="2:15" ht="15.75" customHeight="1">
      <c r="B330" s="1">
        <v>3</v>
      </c>
      <c r="C330" s="1">
        <v>3</v>
      </c>
      <c r="D330" s="888"/>
      <c r="E330" s="1136"/>
      <c r="F330" s="922" t="str">
        <f>IF(F327=$S$15,$T$12,IF(ROUNDDOWN(F327,0)=$S$12,$U$12,$T$12))</f>
        <v>■レベル　3</v>
      </c>
      <c r="G330" s="1083" t="s">
        <v>1479</v>
      </c>
      <c r="H330" s="1246"/>
      <c r="I330" s="1246"/>
      <c r="J330" s="1246"/>
      <c r="K330" s="927"/>
      <c r="L330" s="1246"/>
      <c r="M330" s="927"/>
      <c r="N330" s="927"/>
      <c r="O330" s="928"/>
    </row>
    <row r="331" spans="2:15" ht="15.75" customHeight="1">
      <c r="B331" s="1">
        <v>4</v>
      </c>
      <c r="C331" s="1">
        <v>4</v>
      </c>
      <c r="D331" s="888"/>
      <c r="E331" s="1136"/>
      <c r="F331" s="922" t="str">
        <f>IF(F327=$S$15,$T$13,IF(ROUNDDOWN(F327,0)=$S$13,$U$13,$T$13))</f>
        <v>　レベル　4</v>
      </c>
      <c r="G331" s="1083" t="s">
        <v>29</v>
      </c>
      <c r="H331" s="1246"/>
      <c r="I331" s="1246"/>
      <c r="J331" s="1246"/>
      <c r="K331" s="927"/>
      <c r="L331" s="1246"/>
      <c r="M331" s="927"/>
      <c r="N331" s="927"/>
      <c r="O331" s="928"/>
    </row>
    <row r="332" spans="2:15" ht="15.75" customHeight="1" thickBot="1">
      <c r="B332" s="1">
        <v>5</v>
      </c>
      <c r="C332" s="1">
        <v>5</v>
      </c>
      <c r="D332" s="888"/>
      <c r="E332" s="1136"/>
      <c r="F332" s="933" t="str">
        <f>IF(F327=$S$15,$T$14,IF(ROUNDDOWN(F327,0)=$S$14,$U$14,$T$14))</f>
        <v>　レベル　5</v>
      </c>
      <c r="G332" s="1058" t="s">
        <v>45</v>
      </c>
      <c r="H332" s="1247"/>
      <c r="I332" s="1247"/>
      <c r="J332" s="1247"/>
      <c r="K332" s="938"/>
      <c r="L332" s="1247"/>
      <c r="M332" s="938"/>
      <c r="N332" s="938"/>
      <c r="O332" s="939"/>
    </row>
    <row r="333" spans="2:15" ht="16.5" thickBot="1">
      <c r="B333" s="940">
        <v>0</v>
      </c>
      <c r="C333" s="940">
        <v>0</v>
      </c>
      <c r="D333" s="888"/>
      <c r="E333" s="546"/>
      <c r="F333" s="910">
        <v>0</v>
      </c>
      <c r="G333" s="994" t="s">
        <v>2193</v>
      </c>
      <c r="H333" s="995" t="s">
        <v>3822</v>
      </c>
      <c r="I333" s="1082"/>
      <c r="J333" s="1216"/>
      <c r="K333" s="1206"/>
      <c r="L333" s="1206"/>
      <c r="M333" s="1096"/>
      <c r="N333" s="1096"/>
      <c r="O333" s="1096"/>
    </row>
    <row r="334" spans="2:15" ht="15.75">
      <c r="D334" s="990"/>
      <c r="E334" s="1236"/>
      <c r="F334" s="1212" t="s">
        <v>2203</v>
      </c>
      <c r="G334" s="1214"/>
      <c r="H334" s="1213"/>
      <c r="I334" s="1214"/>
      <c r="J334" s="1213"/>
      <c r="K334" s="1214"/>
      <c r="L334" s="1214"/>
      <c r="M334" s="986"/>
      <c r="N334" s="986"/>
      <c r="O334" s="986"/>
    </row>
    <row r="335" spans="2:15" ht="16.5" thickBot="1">
      <c r="D335" s="888"/>
      <c r="E335" s="546"/>
      <c r="F335" s="1237" t="s">
        <v>1483</v>
      </c>
      <c r="G335" s="1218" t="s">
        <v>40</v>
      </c>
      <c r="H335" s="1238"/>
      <c r="I335" s="1218"/>
      <c r="J335" s="1238"/>
      <c r="K335" s="1218"/>
      <c r="L335" s="1238"/>
      <c r="M335" s="1096"/>
      <c r="N335" s="1096"/>
      <c r="O335" s="1096"/>
    </row>
    <row r="336" spans="2:15" ht="15.75" customHeight="1">
      <c r="D336" s="888"/>
      <c r="E336" s="546"/>
      <c r="F336" s="1226"/>
      <c r="G336" s="1242" t="s">
        <v>2826</v>
      </c>
      <c r="H336" s="1250"/>
      <c r="I336" s="1250"/>
      <c r="J336" s="1250"/>
      <c r="K336" s="1250"/>
      <c r="L336" s="1251"/>
      <c r="M336" s="1096"/>
      <c r="N336" s="1096"/>
      <c r="O336" s="1096"/>
    </row>
    <row r="337" spans="2:15" ht="15.75" customHeight="1">
      <c r="D337" s="888"/>
      <c r="E337" s="546"/>
      <c r="F337" s="1229"/>
      <c r="G337" s="1187" t="s">
        <v>2827</v>
      </c>
      <c r="H337" s="1188"/>
      <c r="I337" s="1188"/>
      <c r="J337" s="1188"/>
      <c r="K337" s="1188"/>
      <c r="L337" s="1252"/>
      <c r="M337" s="1096"/>
      <c r="N337" s="1096"/>
      <c r="O337" s="1096"/>
    </row>
    <row r="338" spans="2:15" ht="73.5" customHeight="1">
      <c r="B338" s="2445"/>
      <c r="C338" s="2445"/>
      <c r="D338" s="888"/>
      <c r="E338" s="546"/>
      <c r="F338" s="2119"/>
      <c r="G338" s="3762" t="s">
        <v>2828</v>
      </c>
      <c r="H338" s="3766"/>
      <c r="I338" s="3766"/>
      <c r="J338" s="3766"/>
      <c r="K338" s="3766"/>
      <c r="L338" s="3767"/>
      <c r="M338" s="1096"/>
      <c r="N338" s="1096"/>
      <c r="O338" s="1096"/>
    </row>
    <row r="339" spans="2:15" ht="15.75" customHeight="1">
      <c r="D339" s="888"/>
      <c r="E339" s="546"/>
      <c r="F339" s="2119"/>
      <c r="G339" s="2123" t="s">
        <v>2829</v>
      </c>
      <c r="H339" s="2125"/>
      <c r="I339" s="2125"/>
      <c r="J339" s="2125"/>
      <c r="K339" s="2125"/>
      <c r="L339" s="2113"/>
      <c r="M339" s="1096"/>
      <c r="N339" s="1096"/>
      <c r="O339" s="1096"/>
    </row>
    <row r="340" spans="2:15" ht="15.75" customHeight="1">
      <c r="D340" s="888"/>
      <c r="E340" s="546"/>
      <c r="F340" s="2119" t="s">
        <v>2196</v>
      </c>
      <c r="G340" s="2123" t="s">
        <v>46</v>
      </c>
      <c r="H340" s="2125"/>
      <c r="I340" s="2125"/>
      <c r="J340" s="2125"/>
      <c r="K340" s="2125"/>
      <c r="L340" s="2113"/>
      <c r="M340" s="1096"/>
      <c r="N340" s="1096"/>
      <c r="O340" s="1096"/>
    </row>
    <row r="341" spans="2:15" ht="16.5" thickBot="1">
      <c r="D341" s="888"/>
      <c r="E341" s="1215"/>
      <c r="F341" s="1235" t="s">
        <v>2196</v>
      </c>
      <c r="G341" s="3827" t="s">
        <v>47</v>
      </c>
      <c r="H341" s="3831"/>
      <c r="I341" s="3831"/>
      <c r="J341" s="3831"/>
      <c r="K341" s="3831"/>
      <c r="L341" s="3832"/>
      <c r="M341" s="1096"/>
      <c r="N341" s="1096"/>
      <c r="O341" s="1096"/>
    </row>
    <row r="342" spans="2:15" ht="15.75">
      <c r="D342" s="888"/>
      <c r="E342" s="546"/>
      <c r="F342" s="2122" t="s">
        <v>32</v>
      </c>
      <c r="G342" s="3047">
        <f>COUNTIF(F336:F341,$S$3)</f>
        <v>2</v>
      </c>
      <c r="H342" s="3043"/>
      <c r="I342" s="3043"/>
      <c r="J342" s="3043"/>
      <c r="K342" s="3043"/>
      <c r="L342" s="3043"/>
      <c r="M342" s="1206"/>
      <c r="N342" s="1096"/>
      <c r="O342" s="1096"/>
    </row>
    <row r="343" spans="2:15" s="2445" customFormat="1" ht="15.75">
      <c r="D343" s="888"/>
      <c r="E343" s="546"/>
      <c r="F343" s="1243"/>
      <c r="G343" s="1243"/>
      <c r="H343" s="1253"/>
      <c r="I343" s="1253"/>
      <c r="J343" s="1253"/>
      <c r="K343" s="1253"/>
      <c r="L343" s="1206"/>
      <c r="M343" s="1206"/>
      <c r="N343" s="1096"/>
      <c r="O343" s="1096"/>
    </row>
    <row r="344" spans="2:15" ht="15.75">
      <c r="D344" s="1311">
        <v>3</v>
      </c>
      <c r="E344" s="1123" t="s">
        <v>1018</v>
      </c>
      <c r="F344" s="1132"/>
      <c r="G344" s="1133"/>
      <c r="H344" s="1133"/>
      <c r="I344" s="1133"/>
      <c r="J344" s="1133"/>
      <c r="K344" s="1132"/>
      <c r="L344" s="1132"/>
      <c r="M344" s="1132"/>
      <c r="N344" s="1132"/>
      <c r="O344" s="1132"/>
    </row>
    <row r="345" spans="2:15" ht="15.75">
      <c r="D345" s="1311">
        <v>3.1</v>
      </c>
      <c r="E345" s="1123" t="s">
        <v>1484</v>
      </c>
      <c r="F345" s="1132"/>
      <c r="G345" s="1023"/>
      <c r="H345" s="1133"/>
      <c r="I345" s="1133"/>
      <c r="J345" s="1133"/>
      <c r="K345" s="1132"/>
      <c r="L345" s="1202"/>
      <c r="M345" s="1132"/>
      <c r="N345" s="1132"/>
      <c r="O345" s="1132"/>
    </row>
    <row r="346" spans="2:15" ht="15.75">
      <c r="D346" s="888"/>
      <c r="E346" s="893"/>
      <c r="F346" s="1064" t="s">
        <v>1275</v>
      </c>
      <c r="G346" s="976"/>
      <c r="H346" s="1025"/>
      <c r="I346" s="1005"/>
      <c r="J346" s="979" t="str">
        <f>IF(OR(F348=0,AND(J347=0,O347=0)),$R$3,"")</f>
        <v/>
      </c>
      <c r="K346" s="1064"/>
      <c r="L346" s="976"/>
      <c r="M346" s="1025"/>
      <c r="N346" s="1005"/>
      <c r="O346" s="979"/>
    </row>
    <row r="347" spans="2:15" ht="16.5" thickBot="1">
      <c r="D347" s="888"/>
      <c r="E347" s="893"/>
      <c r="F347" s="903" t="s">
        <v>257</v>
      </c>
      <c r="G347" s="904"/>
      <c r="H347" s="905"/>
      <c r="I347" s="906" t="s">
        <v>1121</v>
      </c>
      <c r="J347" s="909">
        <f>重み!M102</f>
        <v>0.59055118110236215</v>
      </c>
      <c r="K347" s="903" t="s">
        <v>1611</v>
      </c>
      <c r="L347" s="904"/>
      <c r="M347" s="905"/>
      <c r="N347" s="906" t="s">
        <v>1121</v>
      </c>
      <c r="O347" s="909">
        <f>重み!N102</f>
        <v>9.4488188976377951E-3</v>
      </c>
    </row>
    <row r="348" spans="2:15" ht="16.5" thickBot="1">
      <c r="D348" s="888"/>
      <c r="E348" s="893"/>
      <c r="F348" s="910">
        <v>3</v>
      </c>
      <c r="G348" s="1026" t="s">
        <v>1485</v>
      </c>
      <c r="H348" s="916"/>
      <c r="I348" s="3685" t="s">
        <v>1486</v>
      </c>
      <c r="J348" s="3808"/>
      <c r="K348" s="910">
        <v>3</v>
      </c>
      <c r="L348" s="1026" t="s">
        <v>1276</v>
      </c>
      <c r="M348" s="916"/>
      <c r="N348" s="1026" t="s">
        <v>1277</v>
      </c>
      <c r="O348" s="916"/>
    </row>
    <row r="349" spans="2:15" ht="15.75">
      <c r="B349" s="1">
        <v>1</v>
      </c>
      <c r="C349" s="1">
        <v>1</v>
      </c>
      <c r="D349" s="888"/>
      <c r="E349" s="893"/>
      <c r="F349" s="917" t="str">
        <f>IF(F348=$S$15,$T$10,IF(ROUNDDOWN(F348,0)=$S$10,$U$10,$T$10))</f>
        <v>　レベル　1</v>
      </c>
      <c r="G349" s="919" t="s">
        <v>1278</v>
      </c>
      <c r="H349" s="1205"/>
      <c r="I349" s="919" t="s">
        <v>1279</v>
      </c>
      <c r="J349" s="1254"/>
      <c r="K349" s="917" t="str">
        <f>IF(K348=$S$15,$T$10,IF(ROUNDDOWN(K348,0)=$S$10,$U$10,$T$10))</f>
        <v>　レベル　1</v>
      </c>
      <c r="L349" s="3678" t="s">
        <v>1278</v>
      </c>
      <c r="M349" s="3696"/>
      <c r="N349" s="3678" t="s">
        <v>1280</v>
      </c>
      <c r="O349" s="3696"/>
    </row>
    <row r="350" spans="2:15" ht="15.75" customHeight="1">
      <c r="B350" s="1">
        <v>2</v>
      </c>
      <c r="C350" s="1">
        <v>2</v>
      </c>
      <c r="D350" s="888"/>
      <c r="E350" s="893"/>
      <c r="F350" s="922" t="str">
        <f>IF(F348=$S$15,$T$11,IF(ROUNDDOWN(F348,0)=$S$11,$U$11,$T$11))</f>
        <v>　レベル　2</v>
      </c>
      <c r="G350" s="926" t="s">
        <v>2830</v>
      </c>
      <c r="H350" s="1066"/>
      <c r="I350" s="926" t="s">
        <v>2831</v>
      </c>
      <c r="J350" s="1255"/>
      <c r="K350" s="922" t="str">
        <f>IF(K348=$S$15,$T$11,IF(ROUNDDOWN(K348,0)=$S$11,$U$11,$T$11))</f>
        <v>　レベル　2</v>
      </c>
      <c r="L350" s="3682" t="s">
        <v>2830</v>
      </c>
      <c r="M350" s="3683"/>
      <c r="N350" s="3682" t="s">
        <v>2832</v>
      </c>
      <c r="O350" s="3683"/>
    </row>
    <row r="351" spans="2:15" ht="15.75" customHeight="1">
      <c r="B351" s="1">
        <v>3</v>
      </c>
      <c r="C351" s="1">
        <v>3</v>
      </c>
      <c r="D351" s="888"/>
      <c r="E351" s="893"/>
      <c r="F351" s="922" t="str">
        <f>IF(F348=$S$15,$T$12,IF(ROUNDDOWN(F348,0)=$S$12,$U$12,$T$12))</f>
        <v>■レベル　3</v>
      </c>
      <c r="G351" s="926" t="s">
        <v>2833</v>
      </c>
      <c r="H351" s="1066"/>
      <c r="I351" s="926" t="s">
        <v>2830</v>
      </c>
      <c r="J351" s="1255"/>
      <c r="K351" s="922" t="str">
        <f>IF(K348=$S$15,$T$12,IF(ROUNDDOWN(K348,0)=$S$12,$U$12,$T$12))</f>
        <v>■レベル　3</v>
      </c>
      <c r="L351" s="3682" t="s">
        <v>2833</v>
      </c>
      <c r="M351" s="3683"/>
      <c r="N351" s="3682" t="s">
        <v>2834</v>
      </c>
      <c r="O351" s="3683"/>
    </row>
    <row r="352" spans="2:15" ht="15.75" customHeight="1">
      <c r="B352" s="1">
        <v>4</v>
      </c>
      <c r="C352" s="1">
        <v>4</v>
      </c>
      <c r="D352" s="888"/>
      <c r="E352" s="893"/>
      <c r="F352" s="922" t="str">
        <f>IF(F348=$S$15,$T$13,IF(ROUNDDOWN(F348,0)=$S$13,$U$13,$T$13))</f>
        <v>　レベル　4</v>
      </c>
      <c r="G352" s="926" t="s">
        <v>2835</v>
      </c>
      <c r="H352" s="1066"/>
      <c r="I352" s="926" t="s">
        <v>2833</v>
      </c>
      <c r="J352" s="1255"/>
      <c r="K352" s="922" t="str">
        <f>IF(K348=$S$15,$T$13,IF(ROUNDDOWN(K348,0)=$S$13,$U$13,$T$13))</f>
        <v>　レベル　4</v>
      </c>
      <c r="L352" s="3682" t="s">
        <v>2835</v>
      </c>
      <c r="M352" s="3683"/>
      <c r="N352" s="3682" t="s">
        <v>2836</v>
      </c>
      <c r="O352" s="3683"/>
    </row>
    <row r="353" spans="2:15" ht="15.75">
      <c r="B353" s="1">
        <v>5</v>
      </c>
      <c r="C353" s="1">
        <v>5</v>
      </c>
      <c r="D353" s="888"/>
      <c r="E353" s="893"/>
      <c r="F353" s="933" t="str">
        <f>IF(F348=$S$15,$T$14,IF(ROUNDDOWN(F348,0)=$S$14,$U$14,$T$14))</f>
        <v>　レベル　5</v>
      </c>
      <c r="G353" s="937" t="s">
        <v>1281</v>
      </c>
      <c r="H353" s="1059"/>
      <c r="I353" s="937" t="s">
        <v>1282</v>
      </c>
      <c r="J353" s="1256"/>
      <c r="K353" s="933" t="str">
        <f>IF(K348=$S$15,$T$14,IF(ROUNDDOWN(K348,0)=$S$14,$U$14,$T$14))</f>
        <v>　レベル　5</v>
      </c>
      <c r="L353" s="3680" t="s">
        <v>1281</v>
      </c>
      <c r="M353" s="3681"/>
      <c r="N353" s="3680" t="s">
        <v>1283</v>
      </c>
      <c r="O353" s="3681"/>
    </row>
    <row r="354" spans="2:15" ht="15.75">
      <c r="B354" s="940">
        <v>0</v>
      </c>
      <c r="C354" s="940">
        <v>0</v>
      </c>
      <c r="D354" s="888"/>
      <c r="E354" s="893"/>
      <c r="F354" s="1096"/>
      <c r="G354" s="975"/>
      <c r="H354" s="975"/>
      <c r="I354" s="975"/>
      <c r="J354" s="975"/>
      <c r="K354" s="1096"/>
      <c r="L354" s="1096"/>
      <c r="M354" s="1096"/>
      <c r="N354" s="1096"/>
      <c r="O354" s="1096"/>
    </row>
    <row r="355" spans="2:15" ht="15.75">
      <c r="D355" s="888"/>
      <c r="E355" s="893"/>
      <c r="F355" s="1064" t="s">
        <v>1284</v>
      </c>
      <c r="G355" s="976"/>
      <c r="H355" s="1025"/>
      <c r="I355" s="1005"/>
      <c r="J355" s="979" t="str">
        <f>IF(OR(F357=0,AND(J356=0,O356=0)),$R$3,"")</f>
        <v/>
      </c>
      <c r="K355" s="1064"/>
      <c r="L355" s="976"/>
      <c r="M355" s="1025"/>
      <c r="N355" s="1005"/>
      <c r="O355" s="979"/>
    </row>
    <row r="356" spans="2:15" ht="16.5" thickBot="1">
      <c r="D356" s="888"/>
      <c r="E356" s="893"/>
      <c r="F356" s="903" t="s">
        <v>1285</v>
      </c>
      <c r="G356" s="904"/>
      <c r="H356" s="905"/>
      <c r="I356" s="906" t="s">
        <v>1121</v>
      </c>
      <c r="J356" s="909">
        <f>重み!M103</f>
        <v>0.39370078740157483</v>
      </c>
      <c r="K356" s="903" t="s">
        <v>1611</v>
      </c>
      <c r="L356" s="904"/>
      <c r="M356" s="905"/>
      <c r="N356" s="906" t="s">
        <v>1121</v>
      </c>
      <c r="O356" s="909">
        <f>重み!N103</f>
        <v>6.2992125984251968E-3</v>
      </c>
    </row>
    <row r="357" spans="2:15" ht="16.5" thickBot="1">
      <c r="D357" s="888"/>
      <c r="E357" s="893"/>
      <c r="F357" s="910">
        <v>3</v>
      </c>
      <c r="G357" s="1026" t="s">
        <v>1487</v>
      </c>
      <c r="H357" s="915"/>
      <c r="I357" s="915"/>
      <c r="J357" s="916"/>
      <c r="K357" s="910">
        <v>3</v>
      </c>
      <c r="L357" s="1026" t="s">
        <v>221</v>
      </c>
      <c r="M357" s="916"/>
      <c r="N357" s="1026"/>
      <c r="O357" s="1031"/>
    </row>
    <row r="358" spans="2:15" ht="15.75">
      <c r="B358" s="1">
        <v>1</v>
      </c>
      <c r="C358" s="1">
        <v>1</v>
      </c>
      <c r="D358" s="888"/>
      <c r="E358" s="893"/>
      <c r="F358" s="917" t="str">
        <f>IF(F357=$S$15,$T$10,IF(ROUNDDOWN(F357,0)=$S$10,$U$10,$T$10))</f>
        <v>　レベル　1</v>
      </c>
      <c r="G358" s="919" t="s">
        <v>1488</v>
      </c>
      <c r="H358" s="1205"/>
      <c r="I358" s="1205"/>
      <c r="J358" s="1254"/>
      <c r="K358" s="917" t="str">
        <f>IF(K357=$S$15,$T$10,IF(ROUNDDOWN(K357,0)=$S$10,$U$10,$T$10))</f>
        <v>　レベル　1</v>
      </c>
      <c r="L358" s="3678" t="s">
        <v>222</v>
      </c>
      <c r="M358" s="3698"/>
      <c r="N358" s="3698"/>
      <c r="O358" s="3684"/>
    </row>
    <row r="359" spans="2:15" ht="15.75">
      <c r="B359" s="1">
        <v>2</v>
      </c>
      <c r="C359" s="1">
        <v>2</v>
      </c>
      <c r="D359" s="888"/>
      <c r="E359" s="893"/>
      <c r="F359" s="922" t="str">
        <f>IF(F357=$S$15,$T$11,IF(ROUNDDOWN(F357,0)=$S$11,$U$11,$T$11))</f>
        <v>　レベル　2</v>
      </c>
      <c r="G359" s="926" t="s">
        <v>1489</v>
      </c>
      <c r="H359" s="1066"/>
      <c r="I359" s="1066"/>
      <c r="J359" s="1255"/>
      <c r="K359" s="922" t="str">
        <f>IF(K357=$S$15,$T$11,IF(ROUNDDOWN(K357,0)=$S$11,$U$11,$T$11))</f>
        <v>　レベル　2</v>
      </c>
      <c r="L359" s="3716" t="s">
        <v>223</v>
      </c>
      <c r="M359" s="3717"/>
      <c r="N359" s="3717"/>
      <c r="O359" s="3718"/>
    </row>
    <row r="360" spans="2:15" ht="15.75">
      <c r="B360" s="1">
        <v>3</v>
      </c>
      <c r="C360" s="1">
        <v>3</v>
      </c>
      <c r="D360" s="888"/>
      <c r="E360" s="1120"/>
      <c r="F360" s="922" t="str">
        <f>IF(F357=$S$15,$T$12,IF(ROUNDDOWN(F357,0)=$S$12,$U$12,$T$12))</f>
        <v>■レベル　3</v>
      </c>
      <c r="G360" s="926" t="s">
        <v>1490</v>
      </c>
      <c r="H360" s="1066"/>
      <c r="I360" s="1066"/>
      <c r="J360" s="1255"/>
      <c r="K360" s="922" t="str">
        <f>IF(K357=$S$15,$T$12,IF(ROUNDDOWN(K357,0)=$S$12,$U$12,$T$12))</f>
        <v>■レベル　3</v>
      </c>
      <c r="L360" s="3716" t="s">
        <v>224</v>
      </c>
      <c r="M360" s="3717"/>
      <c r="N360" s="3717"/>
      <c r="O360" s="3718"/>
    </row>
    <row r="361" spans="2:15" ht="15.75">
      <c r="B361" s="1">
        <v>4</v>
      </c>
      <c r="C361" s="1">
        <v>4</v>
      </c>
      <c r="D361" s="888"/>
      <c r="E361" s="893"/>
      <c r="F361" s="922" t="str">
        <f>IF(F357=$S$15,$T$13,IF(ROUNDDOWN(F357,0)=$S$13,$U$13,$T$13))</f>
        <v>　レベル　4</v>
      </c>
      <c r="G361" s="926" t="s">
        <v>1491</v>
      </c>
      <c r="H361" s="1066"/>
      <c r="I361" s="1066"/>
      <c r="J361" s="1255"/>
      <c r="K361" s="922" t="str">
        <f>IF(K357=$S$15,$T$13,IF(ROUNDDOWN(K357,0)=$S$13,$U$13,$T$13))</f>
        <v>　レベル　4</v>
      </c>
      <c r="L361" s="3716" t="s">
        <v>225</v>
      </c>
      <c r="M361" s="3717"/>
      <c r="N361" s="3717"/>
      <c r="O361" s="3718"/>
    </row>
    <row r="362" spans="2:15" ht="15.75">
      <c r="B362" s="1">
        <v>5</v>
      </c>
      <c r="C362" s="1">
        <v>5</v>
      </c>
      <c r="D362" s="888"/>
      <c r="E362" s="893"/>
      <c r="F362" s="933" t="str">
        <f>IF(F357=$S$15,$T$14,IF(ROUNDDOWN(F357,0)=$S$14,$U$14,$T$14))</f>
        <v>　レベル　5</v>
      </c>
      <c r="G362" s="937" t="s">
        <v>226</v>
      </c>
      <c r="H362" s="1059"/>
      <c r="I362" s="1059"/>
      <c r="J362" s="1256"/>
      <c r="K362" s="933" t="str">
        <f>IF(K357=$S$15,$T$14,IF(ROUNDDOWN(K357,0)=$S$14,$U$14,$T$14))</f>
        <v>　レベル　5</v>
      </c>
      <c r="L362" s="3707" t="s">
        <v>226</v>
      </c>
      <c r="M362" s="3727"/>
      <c r="N362" s="3727"/>
      <c r="O362" s="3728"/>
    </row>
    <row r="363" spans="2:15" ht="15.75" customHeight="1">
      <c r="B363" s="940">
        <v>0</v>
      </c>
      <c r="C363" s="940">
        <v>0</v>
      </c>
      <c r="D363" s="888"/>
      <c r="E363" s="893"/>
      <c r="F363" s="1030"/>
      <c r="G363" s="1257" t="s">
        <v>1492</v>
      </c>
      <c r="H363" s="1258" t="s">
        <v>227</v>
      </c>
      <c r="I363" s="1258"/>
      <c r="J363" s="1259"/>
      <c r="K363" s="1259"/>
      <c r="L363" s="1030"/>
      <c r="M363" s="1030"/>
      <c r="N363" s="1030"/>
      <c r="O363" s="1030"/>
    </row>
    <row r="364" spans="2:15" ht="15.75">
      <c r="D364" s="888"/>
      <c r="E364" s="893"/>
      <c r="F364" s="1030"/>
      <c r="G364" s="1260"/>
      <c r="H364" s="1261" t="s">
        <v>228</v>
      </c>
      <c r="I364" s="1261"/>
      <c r="J364" s="1260"/>
      <c r="K364" s="1260"/>
      <c r="L364" s="1030"/>
      <c r="M364" s="1030"/>
      <c r="N364" s="1030"/>
      <c r="O364" s="1030"/>
    </row>
    <row r="365" spans="2:15" ht="15.75">
      <c r="D365" s="888"/>
      <c r="E365" s="893"/>
      <c r="F365" s="1030"/>
      <c r="G365" s="1030"/>
      <c r="H365" s="1030"/>
      <c r="I365" s="1030"/>
      <c r="J365" s="1030"/>
      <c r="K365" s="1030"/>
      <c r="L365" s="1030"/>
      <c r="M365" s="1030"/>
      <c r="N365" s="1030"/>
      <c r="O365" s="1030"/>
    </row>
    <row r="366" spans="2:15" ht="15.75">
      <c r="D366" s="1311">
        <v>3.2</v>
      </c>
      <c r="E366" s="1123" t="s">
        <v>1493</v>
      </c>
      <c r="F366" s="1064"/>
      <c r="G366" s="976"/>
      <c r="H366" s="1025"/>
      <c r="I366" s="1005"/>
      <c r="J366" s="979" t="str">
        <f>IF(OR(F368=0,AND(J367=0,O367=0)),$R$3,"")</f>
        <v/>
      </c>
      <c r="K366" s="1005"/>
      <c r="L366" s="1005"/>
      <c r="M366" s="975"/>
      <c r="N366" s="1005"/>
      <c r="O366" s="979"/>
    </row>
    <row r="367" spans="2:15" ht="16.5" thickBot="1">
      <c r="D367" s="888"/>
      <c r="E367" s="893"/>
      <c r="F367" s="1045" t="s">
        <v>257</v>
      </c>
      <c r="G367" s="904"/>
      <c r="H367" s="905"/>
      <c r="I367" s="906" t="s">
        <v>1121</v>
      </c>
      <c r="J367" s="907">
        <f>重み!M104</f>
        <v>0.29527559055118108</v>
      </c>
      <c r="K367" s="1046"/>
      <c r="L367" s="1048"/>
      <c r="M367" s="1049" t="s">
        <v>1611</v>
      </c>
      <c r="N367" s="906" t="s">
        <v>1121</v>
      </c>
      <c r="O367" s="908">
        <f>重み!N104</f>
        <v>7.874015748031496E-3</v>
      </c>
    </row>
    <row r="368" spans="2:15" ht="16.5" thickBot="1">
      <c r="D368" s="888"/>
      <c r="E368" s="893"/>
      <c r="F368" s="910">
        <v>3</v>
      </c>
      <c r="G368" s="3685" t="s">
        <v>1494</v>
      </c>
      <c r="H368" s="3808"/>
      <c r="I368" s="1026" t="s">
        <v>1495</v>
      </c>
      <c r="J368" s="916"/>
      <c r="K368" s="1050" t="s">
        <v>1648</v>
      </c>
      <c r="L368" s="1051"/>
      <c r="M368" s="910">
        <v>3</v>
      </c>
      <c r="N368" s="1026" t="s">
        <v>1629</v>
      </c>
      <c r="O368" s="916"/>
    </row>
    <row r="369" spans="2:15" ht="15.75" customHeight="1">
      <c r="B369" s="1" t="s">
        <v>1787</v>
      </c>
      <c r="C369" s="1" t="s">
        <v>1787</v>
      </c>
      <c r="D369" s="888"/>
      <c r="E369" s="893"/>
      <c r="F369" s="917" t="str">
        <f>IF(F368=$S$15,$T$10,IF(ROUNDDOWN(F368,0)=$S$10,$U$10,$T$10))</f>
        <v>　レベル　1</v>
      </c>
      <c r="G369" s="3678" t="s">
        <v>1496</v>
      </c>
      <c r="H369" s="3696"/>
      <c r="I369" s="3678" t="s">
        <v>1496</v>
      </c>
      <c r="J369" s="3696"/>
      <c r="K369" s="3678" t="s">
        <v>1496</v>
      </c>
      <c r="L369" s="3696"/>
      <c r="M369" s="917" t="str">
        <f>IF(M368=$S$15,$T$10,IF(ROUNDDOWN(M368,0)=$S$10,$U$10,$T$10))</f>
        <v>　レベル　1</v>
      </c>
      <c r="N369" s="3678" t="s">
        <v>1496</v>
      </c>
      <c r="O369" s="3696"/>
    </row>
    <row r="370" spans="2:15" ht="15.75" customHeight="1">
      <c r="B370" s="1">
        <v>2</v>
      </c>
      <c r="C370" s="1">
        <v>2</v>
      </c>
      <c r="D370" s="888"/>
      <c r="E370" s="893"/>
      <c r="F370" s="922" t="str">
        <f>IF(F368=$S$15,$T$11,IF(ROUNDDOWN(F368,0)=$S$11,$U$11,$T$11))</f>
        <v>　レベル　2</v>
      </c>
      <c r="G370" s="3682" t="s">
        <v>1497</v>
      </c>
      <c r="H370" s="3683"/>
      <c r="I370" s="3682" t="s">
        <v>1498</v>
      </c>
      <c r="J370" s="3683"/>
      <c r="K370" s="3682" t="s">
        <v>1499</v>
      </c>
      <c r="L370" s="3683"/>
      <c r="M370" s="922" t="str">
        <f>IF(M368=$S$15,$T$11,IF(ROUNDDOWN(M368,0)=$S$11,$U$11,$T$11))</f>
        <v>　レベル　2</v>
      </c>
      <c r="N370" s="3682" t="s">
        <v>1500</v>
      </c>
      <c r="O370" s="3683"/>
    </row>
    <row r="371" spans="2:15" ht="15.75" customHeight="1">
      <c r="B371" s="1">
        <v>3</v>
      </c>
      <c r="C371" s="1">
        <v>3</v>
      </c>
      <c r="D371" s="888"/>
      <c r="E371" s="893"/>
      <c r="F371" s="922" t="str">
        <f>IF(F368=$S$15,$T$12,IF(ROUNDDOWN(F368,0)=$S$12,$U$12,$T$12))</f>
        <v>■レベル　3</v>
      </c>
      <c r="G371" s="3682" t="s">
        <v>1501</v>
      </c>
      <c r="H371" s="3683"/>
      <c r="I371" s="3682" t="s">
        <v>1502</v>
      </c>
      <c r="J371" s="3683"/>
      <c r="K371" s="3682" t="s">
        <v>2330</v>
      </c>
      <c r="L371" s="3683"/>
      <c r="M371" s="922" t="str">
        <f>IF(M368=$S$15,$T$12,IF(ROUNDDOWN(M368,0)=$S$12,$U$12,$T$12))</f>
        <v>■レベル　3</v>
      </c>
      <c r="N371" s="3682" t="s">
        <v>2331</v>
      </c>
      <c r="O371" s="3683"/>
    </row>
    <row r="372" spans="2:15" ht="15.75" customHeight="1">
      <c r="B372" s="1">
        <v>4</v>
      </c>
      <c r="C372" s="1">
        <v>4</v>
      </c>
      <c r="D372" s="888"/>
      <c r="E372" s="893"/>
      <c r="F372" s="922" t="str">
        <f>IF(F368=$S$15,$T$13,IF(ROUNDDOWN(F368,0)=$S$13,$U$13,$T$13))</f>
        <v>　レベル　4</v>
      </c>
      <c r="G372" s="3682" t="s">
        <v>2332</v>
      </c>
      <c r="H372" s="3683"/>
      <c r="I372" s="3682" t="s">
        <v>2333</v>
      </c>
      <c r="J372" s="3683"/>
      <c r="K372" s="3682" t="s">
        <v>1501</v>
      </c>
      <c r="L372" s="3683"/>
      <c r="M372" s="922" t="str">
        <f>IF(M368=$S$15,$T$13,IF(ROUNDDOWN(M368,0)=$S$13,$U$13,$T$13))</f>
        <v>　レベル　4</v>
      </c>
      <c r="N372" s="3682" t="s">
        <v>1882</v>
      </c>
      <c r="O372" s="3683"/>
    </row>
    <row r="373" spans="2:15" ht="15.75" customHeight="1">
      <c r="B373" s="1">
        <v>5</v>
      </c>
      <c r="C373" s="1">
        <v>5</v>
      </c>
      <c r="D373" s="888"/>
      <c r="E373" s="893"/>
      <c r="F373" s="933" t="str">
        <f>IF(F368=$S$15,$T$14,IF(ROUNDDOWN(F368,0)=$S$14,$U$14,$T$14))</f>
        <v>　レベル　5</v>
      </c>
      <c r="G373" s="3680" t="s">
        <v>1732</v>
      </c>
      <c r="H373" s="3681"/>
      <c r="I373" s="3680" t="s">
        <v>1733</v>
      </c>
      <c r="J373" s="3681"/>
      <c r="K373" s="3680" t="s">
        <v>1734</v>
      </c>
      <c r="L373" s="3681"/>
      <c r="M373" s="933" t="str">
        <f>IF(M368=$S$15,$T$14,IF(ROUNDDOWN(M368,0)=$S$14,$U$14,$T$14))</f>
        <v>　レベル　5</v>
      </c>
      <c r="N373" s="3680" t="s">
        <v>1735</v>
      </c>
      <c r="O373" s="3681"/>
    </row>
    <row r="374" spans="2:15" ht="15.75">
      <c r="B374" s="940">
        <v>0</v>
      </c>
      <c r="C374" s="940">
        <v>0</v>
      </c>
      <c r="D374" s="1262"/>
      <c r="E374" s="546"/>
      <c r="F374" s="1096"/>
      <c r="G374" s="975"/>
      <c r="H374" s="975"/>
      <c r="I374" s="975"/>
      <c r="J374" s="975"/>
      <c r="K374" s="1096"/>
      <c r="L374" s="1096"/>
      <c r="M374" s="1096"/>
      <c r="N374" s="1096"/>
      <c r="O374" s="1206"/>
    </row>
    <row r="375" spans="2:15" ht="15.75">
      <c r="D375" s="1311">
        <v>3.3</v>
      </c>
      <c r="E375" s="1123" t="s">
        <v>1736</v>
      </c>
      <c r="F375" s="1132"/>
      <c r="G375" s="1023"/>
      <c r="H375" s="1133"/>
      <c r="I375" s="1133"/>
      <c r="J375" s="1133"/>
      <c r="K375" s="1132"/>
      <c r="L375" s="1202"/>
      <c r="M375" s="1132"/>
      <c r="N375" s="1132"/>
      <c r="O375" s="1132"/>
    </row>
    <row r="376" spans="2:15" ht="15.75">
      <c r="D376" s="1311"/>
      <c r="E376" s="1123"/>
      <c r="F376" s="1064" t="s">
        <v>229</v>
      </c>
      <c r="G376" s="976"/>
      <c r="H376" s="1025"/>
      <c r="I376" s="1005"/>
      <c r="J376" s="979" t="str">
        <f>IF(OR(F378=0,J377=0),$R$3,"")</f>
        <v/>
      </c>
      <c r="K376" s="1064" t="s">
        <v>230</v>
      </c>
      <c r="L376" s="976"/>
      <c r="M376" s="1025"/>
      <c r="N376" s="1005"/>
      <c r="O376" s="979" t="str">
        <f>IF(OR(K378=0,O377=0),$R$3,"")</f>
        <v/>
      </c>
    </row>
    <row r="377" spans="2:15" ht="16.5" thickBot="1">
      <c r="D377" s="888"/>
      <c r="E377" s="893"/>
      <c r="F377" s="903"/>
      <c r="G377" s="904"/>
      <c r="H377" s="905"/>
      <c r="I377" s="906" t="s">
        <v>1121</v>
      </c>
      <c r="J377" s="909">
        <f>重み!M106</f>
        <v>0.2</v>
      </c>
      <c r="K377" s="903"/>
      <c r="L377" s="904"/>
      <c r="M377" s="905"/>
      <c r="N377" s="906" t="s">
        <v>1121</v>
      </c>
      <c r="O377" s="909">
        <f>重み!M107</f>
        <v>0.2</v>
      </c>
    </row>
    <row r="378" spans="2:15" ht="16.5" thickBot="1">
      <c r="D378" s="888"/>
      <c r="E378" s="893"/>
      <c r="F378" s="910">
        <v>3</v>
      </c>
      <c r="G378" s="1026" t="s">
        <v>1243</v>
      </c>
      <c r="H378" s="916"/>
      <c r="I378" s="915"/>
      <c r="J378" s="916"/>
      <c r="K378" s="910">
        <v>3</v>
      </c>
      <c r="L378" s="1026" t="s">
        <v>1243</v>
      </c>
      <c r="M378" s="916"/>
      <c r="N378" s="1026"/>
      <c r="O378" s="1031"/>
    </row>
    <row r="379" spans="2:15" ht="21" customHeight="1">
      <c r="B379" s="1">
        <v>1</v>
      </c>
      <c r="C379" s="1">
        <v>1</v>
      </c>
      <c r="D379" s="888"/>
      <c r="E379" s="893"/>
      <c r="F379" s="917" t="str">
        <f>IF(F378=$S$15,$T$10,IF(ROUNDDOWN(F378,0)=$S$10,$U$10,$T$10))</f>
        <v>　レベル　1</v>
      </c>
      <c r="G379" s="3678" t="s">
        <v>1737</v>
      </c>
      <c r="H379" s="3806"/>
      <c r="I379" s="3806"/>
      <c r="J379" s="3807"/>
      <c r="K379" s="917" t="str">
        <f>IF(K378=$S$15,$T$10,IF(ROUNDDOWN(K378,0)=$S$10,$U$10,$T$10))</f>
        <v>　レベル　1</v>
      </c>
      <c r="L379" s="3678" t="s">
        <v>2837</v>
      </c>
      <c r="M379" s="3806"/>
      <c r="N379" s="3806"/>
      <c r="O379" s="3807"/>
    </row>
    <row r="380" spans="2:15" ht="38.25" customHeight="1">
      <c r="B380" s="1">
        <v>2</v>
      </c>
      <c r="C380" s="1">
        <v>2</v>
      </c>
      <c r="D380" s="888"/>
      <c r="E380" s="893"/>
      <c r="F380" s="922" t="str">
        <f>IF(F378=$S$15,$T$11,IF(ROUNDDOWN(F378,0)=$S$11,$U$11,$T$11))</f>
        <v>　レベル　2</v>
      </c>
      <c r="G380" s="3716" t="s">
        <v>1257</v>
      </c>
      <c r="H380" s="3717"/>
      <c r="I380" s="3717"/>
      <c r="J380" s="3718"/>
      <c r="K380" s="922" t="str">
        <f>IF(K378=$S$15,$T$11,IF(ROUNDDOWN(K378,0)=$S$11,$U$11,$T$11))</f>
        <v>　レベル　2</v>
      </c>
      <c r="L380" s="3716" t="s">
        <v>2838</v>
      </c>
      <c r="M380" s="3717"/>
      <c r="N380" s="3717"/>
      <c r="O380" s="3718"/>
    </row>
    <row r="381" spans="2:15" ht="38.25" customHeight="1">
      <c r="B381" s="1">
        <v>3</v>
      </c>
      <c r="C381" s="1">
        <v>3</v>
      </c>
      <c r="D381" s="888"/>
      <c r="E381" s="893"/>
      <c r="F381" s="922" t="str">
        <f>IF(F378=$S$15,$T$12,IF(ROUNDDOWN(F378,0)=$S$12,$U$12,$T$12))</f>
        <v>■レベル　3</v>
      </c>
      <c r="G381" s="3716" t="s">
        <v>2839</v>
      </c>
      <c r="H381" s="3717"/>
      <c r="I381" s="3717"/>
      <c r="J381" s="3718"/>
      <c r="K381" s="922" t="str">
        <f>IF(K378=$S$15,$T$12,IF(ROUNDDOWN(K378,0)=$S$12,$U$12,$T$12))</f>
        <v>■レベル　3</v>
      </c>
      <c r="L381" s="3716" t="s">
        <v>2840</v>
      </c>
      <c r="M381" s="3717"/>
      <c r="N381" s="3717"/>
      <c r="O381" s="3718"/>
    </row>
    <row r="382" spans="2:15" ht="38.25" customHeight="1">
      <c r="B382" s="1">
        <v>4</v>
      </c>
      <c r="C382" s="1">
        <v>4</v>
      </c>
      <c r="D382" s="888"/>
      <c r="E382" s="893"/>
      <c r="F382" s="922" t="str">
        <f>IF(F378=$S$15,$T$13,IF(ROUNDDOWN(F378,0)=$S$13,$U$13,$T$13))</f>
        <v>　レベル　4</v>
      </c>
      <c r="G382" s="3716" t="s">
        <v>2841</v>
      </c>
      <c r="H382" s="3717"/>
      <c r="I382" s="3717"/>
      <c r="J382" s="3718"/>
      <c r="K382" s="922" t="str">
        <f>IF(K378=$S$15,$T$13,IF(ROUNDDOWN(K378,0)=$S$13,$U$13,$T$13))</f>
        <v>　レベル　4</v>
      </c>
      <c r="L382" s="3716" t="s">
        <v>2842</v>
      </c>
      <c r="M382" s="3717"/>
      <c r="N382" s="3717"/>
      <c r="O382" s="3718"/>
    </row>
    <row r="383" spans="2:15" ht="38.25" customHeight="1">
      <c r="B383" s="1">
        <v>5</v>
      </c>
      <c r="C383" s="1">
        <v>5</v>
      </c>
      <c r="D383" s="888"/>
      <c r="E383" s="893"/>
      <c r="F383" s="933" t="str">
        <f>IF(F378=$S$15,$T$14,IF(ROUNDDOWN(F378,0)=$S$14,$U$14,$T$14))</f>
        <v>　レベル　5</v>
      </c>
      <c r="G383" s="3707" t="s">
        <v>2843</v>
      </c>
      <c r="H383" s="3727"/>
      <c r="I383" s="3727"/>
      <c r="J383" s="3728"/>
      <c r="K383" s="933" t="str">
        <f>IF(K378=$S$15,$T$14,IF(ROUNDDOWN(K378,0)=$S$14,$U$14,$T$14))</f>
        <v>　レベル　5</v>
      </c>
      <c r="L383" s="3707" t="s">
        <v>2844</v>
      </c>
      <c r="M383" s="3727"/>
      <c r="N383" s="3727"/>
      <c r="O383" s="3728"/>
    </row>
    <row r="384" spans="2:15" ht="15.75">
      <c r="B384" s="940">
        <v>0</v>
      </c>
      <c r="C384" s="940">
        <v>0</v>
      </c>
      <c r="D384" s="888"/>
      <c r="E384" s="1039"/>
      <c r="F384" s="1063"/>
      <c r="G384" s="1063"/>
      <c r="H384" s="1063"/>
      <c r="I384" s="1063"/>
      <c r="J384" s="1061"/>
      <c r="K384" s="1061"/>
      <c r="L384" s="1063"/>
      <c r="M384" s="1063"/>
      <c r="N384" s="1061"/>
      <c r="O384" s="1263"/>
    </row>
    <row r="385" spans="2:15" ht="15.75">
      <c r="D385" s="888"/>
      <c r="E385" s="1039"/>
      <c r="F385" s="1064" t="s">
        <v>1258</v>
      </c>
      <c r="G385" s="976"/>
      <c r="H385" s="1025"/>
      <c r="I385" s="1005"/>
      <c r="J385" s="979" t="str">
        <f>IF(OR(F387=0,J386=0),$R$3,"")</f>
        <v/>
      </c>
      <c r="K385" s="1064" t="s">
        <v>3833</v>
      </c>
      <c r="L385" s="976"/>
      <c r="M385" s="1025"/>
      <c r="N385" s="1005"/>
      <c r="O385" s="979" t="str">
        <f>IF(OR(K387=0,O386=0),$R$3,"")</f>
        <v/>
      </c>
    </row>
    <row r="386" spans="2:15" ht="16.5" thickBot="1">
      <c r="D386" s="888"/>
      <c r="E386" s="1039"/>
      <c r="F386" s="903"/>
      <c r="G386" s="904"/>
      <c r="H386" s="905"/>
      <c r="I386" s="906" t="s">
        <v>1121</v>
      </c>
      <c r="J386" s="909">
        <f>重み!M108</f>
        <v>0.1</v>
      </c>
      <c r="K386" s="903"/>
      <c r="L386" s="904"/>
      <c r="M386" s="905"/>
      <c r="N386" s="906" t="s">
        <v>1121</v>
      </c>
      <c r="O386" s="909">
        <f>重み!M109</f>
        <v>0.1</v>
      </c>
    </row>
    <row r="387" spans="2:15" ht="15.75" customHeight="1" thickBot="1">
      <c r="D387" s="888"/>
      <c r="E387" s="1039"/>
      <c r="F387" s="910">
        <v>3</v>
      </c>
      <c r="G387" s="1026" t="s">
        <v>1243</v>
      </c>
      <c r="H387" s="916"/>
      <c r="I387" s="915"/>
      <c r="J387" s="916"/>
      <c r="K387" s="910">
        <v>3</v>
      </c>
      <c r="L387" s="1026" t="s">
        <v>1243</v>
      </c>
      <c r="M387" s="916"/>
      <c r="N387" s="1026"/>
      <c r="O387" s="1031"/>
    </row>
    <row r="388" spans="2:15" ht="15.75" customHeight="1">
      <c r="B388" s="1">
        <v>1</v>
      </c>
      <c r="C388" s="1">
        <v>1</v>
      </c>
      <c r="D388" s="888"/>
      <c r="E388" s="1039"/>
      <c r="F388" s="917" t="str">
        <f>IF(F387=$S$15,$T$10,IF(ROUNDDOWN(F387,0)=$S$10,$U$10,$T$10))</f>
        <v>　レベル　1</v>
      </c>
      <c r="G388" s="3678" t="s">
        <v>1259</v>
      </c>
      <c r="H388" s="3806"/>
      <c r="I388" s="3806"/>
      <c r="J388" s="3807"/>
      <c r="K388" s="917" t="str">
        <f>IF(K387=$S$15,$T$10,IF(ROUNDDOWN(K387,0)=$S$10,$U$10,$T$10))</f>
        <v>　レベル　1</v>
      </c>
      <c r="L388" s="3678" t="s">
        <v>1260</v>
      </c>
      <c r="M388" s="3806"/>
      <c r="N388" s="3806"/>
      <c r="O388" s="3807"/>
    </row>
    <row r="389" spans="2:15" ht="15.75" customHeight="1">
      <c r="B389" s="1" t="s">
        <v>1246</v>
      </c>
      <c r="C389" s="1" t="s">
        <v>1246</v>
      </c>
      <c r="D389" s="888"/>
      <c r="E389" s="1039"/>
      <c r="F389" s="922" t="str">
        <f>IF(F387=$S$15,$T$11,IF(ROUNDDOWN(F387,0)=$S$11,$U$11,$T$11))</f>
        <v>　レベル　2</v>
      </c>
      <c r="G389" s="3716" t="s">
        <v>1788</v>
      </c>
      <c r="H389" s="3717"/>
      <c r="I389" s="3717"/>
      <c r="J389" s="3718"/>
      <c r="K389" s="922" t="str">
        <f>IF(K387=$S$15,$T$11,IF(ROUNDDOWN(K387,0)=$S$11,$U$11,$T$11))</f>
        <v>　レベル　2</v>
      </c>
      <c r="L389" s="3716" t="s">
        <v>1788</v>
      </c>
      <c r="M389" s="3717"/>
      <c r="N389" s="3717"/>
      <c r="O389" s="3718"/>
    </row>
    <row r="390" spans="2:15" ht="15.75">
      <c r="B390" s="1">
        <v>3</v>
      </c>
      <c r="C390" s="1">
        <v>3</v>
      </c>
      <c r="D390" s="888"/>
      <c r="E390" s="1039"/>
      <c r="F390" s="922" t="str">
        <f>IF(F387=$S$15,$T$12,IF(ROUNDDOWN(F387,0)=$S$12,$U$12,$T$12))</f>
        <v>■レベル　3</v>
      </c>
      <c r="G390" s="3716" t="s">
        <v>98</v>
      </c>
      <c r="H390" s="3717"/>
      <c r="I390" s="3717"/>
      <c r="J390" s="3718"/>
      <c r="K390" s="922" t="str">
        <f>IF(K387=$S$15,$T$12,IF(ROUNDDOWN(K387,0)=$S$12,$U$12,$T$12))</f>
        <v>■レベル　3</v>
      </c>
      <c r="L390" s="3716" t="s">
        <v>99</v>
      </c>
      <c r="M390" s="3717"/>
      <c r="N390" s="3717"/>
      <c r="O390" s="3718"/>
    </row>
    <row r="391" spans="2:15" ht="15.75" customHeight="1">
      <c r="B391" s="1" t="s">
        <v>1246</v>
      </c>
      <c r="C391" s="1" t="s">
        <v>1246</v>
      </c>
      <c r="D391" s="888"/>
      <c r="E391" s="1039" t="s">
        <v>100</v>
      </c>
      <c r="F391" s="922" t="str">
        <f>IF(F387=$S$15,$T$13,IF(ROUNDDOWN(F387,0)=$S$13,$U$13,$T$13))</f>
        <v>　レベル　4</v>
      </c>
      <c r="G391" s="3716" t="s">
        <v>1788</v>
      </c>
      <c r="H391" s="3717"/>
      <c r="I391" s="3717"/>
      <c r="J391" s="3718"/>
      <c r="K391" s="922" t="str">
        <f>IF(K387=$S$15,$T$13,IF(ROUNDDOWN(K387,0)=$S$13,$U$13,$T$13))</f>
        <v>　レベル　4</v>
      </c>
      <c r="L391" s="3716" t="s">
        <v>1788</v>
      </c>
      <c r="M391" s="3717"/>
      <c r="N391" s="3717"/>
      <c r="O391" s="3718"/>
    </row>
    <row r="392" spans="2:15" ht="32.25" customHeight="1">
      <c r="B392" s="1">
        <v>5</v>
      </c>
      <c r="C392" s="1">
        <v>5</v>
      </c>
      <c r="D392" s="888"/>
      <c r="E392" s="1039"/>
      <c r="F392" s="933" t="str">
        <f>IF(F387=$S$15,$T$14,IF(ROUNDDOWN(F387,0)=$S$14,$U$14,$T$14))</f>
        <v>　レベル　5</v>
      </c>
      <c r="G392" s="3707" t="s">
        <v>2845</v>
      </c>
      <c r="H392" s="3727"/>
      <c r="I392" s="3727"/>
      <c r="J392" s="3728"/>
      <c r="K392" s="933" t="str">
        <f>IF(K387=$S$15,$T$14,IF(ROUNDDOWN(K387,0)=$S$14,$U$14,$T$14))</f>
        <v>　レベル　5</v>
      </c>
      <c r="L392" s="3707" t="s">
        <v>1261</v>
      </c>
      <c r="M392" s="3727"/>
      <c r="N392" s="3727"/>
      <c r="O392" s="3728"/>
    </row>
    <row r="393" spans="2:15" ht="15.75">
      <c r="B393" s="940">
        <v>0</v>
      </c>
      <c r="C393" s="940">
        <v>0</v>
      </c>
      <c r="D393" s="888"/>
      <c r="E393" s="1039"/>
      <c r="F393" s="1063"/>
      <c r="G393" s="1063"/>
      <c r="H393" s="1063"/>
      <c r="I393" s="1063"/>
      <c r="J393" s="1061"/>
      <c r="K393" s="1061"/>
      <c r="L393" s="1063"/>
      <c r="M393" s="1063"/>
      <c r="N393" s="1061"/>
      <c r="O393" s="1263"/>
    </row>
    <row r="394" spans="2:15" ht="15.75">
      <c r="D394" s="888"/>
      <c r="E394" s="1039"/>
      <c r="F394" s="1064" t="s">
        <v>1262</v>
      </c>
      <c r="G394" s="976"/>
      <c r="H394" s="1025"/>
      <c r="I394" s="1005"/>
      <c r="J394" s="979" t="str">
        <f>IF(OR(F396=0,J395=0),$R$3,"")</f>
        <v/>
      </c>
      <c r="K394" s="1064" t="s">
        <v>3834</v>
      </c>
      <c r="L394" s="976"/>
      <c r="M394" s="1025"/>
      <c r="N394" s="1005"/>
      <c r="O394" s="979" t="str">
        <f>IF(OR(K396=0,O395=0),$R$3,"")</f>
        <v/>
      </c>
    </row>
    <row r="395" spans="2:15" ht="16.5" thickBot="1">
      <c r="D395" s="888"/>
      <c r="E395" s="1039"/>
      <c r="F395" s="903"/>
      <c r="G395" s="904"/>
      <c r="H395" s="905"/>
      <c r="I395" s="906" t="s">
        <v>1121</v>
      </c>
      <c r="J395" s="909">
        <f>重み!M110</f>
        <v>0.2</v>
      </c>
      <c r="K395" s="903"/>
      <c r="L395" s="904"/>
      <c r="M395" s="905"/>
      <c r="N395" s="906" t="s">
        <v>1121</v>
      </c>
      <c r="O395" s="909">
        <f>重み!M111</f>
        <v>0.2</v>
      </c>
    </row>
    <row r="396" spans="2:15" ht="16.5" thickBot="1">
      <c r="D396" s="888"/>
      <c r="E396" s="1039"/>
      <c r="F396" s="910">
        <v>3</v>
      </c>
      <c r="G396" s="1026" t="s">
        <v>1243</v>
      </c>
      <c r="H396" s="916"/>
      <c r="I396" s="915"/>
      <c r="J396" s="916"/>
      <c r="K396" s="910">
        <v>3</v>
      </c>
      <c r="L396" s="1026" t="s">
        <v>1243</v>
      </c>
      <c r="M396" s="916"/>
      <c r="N396" s="1026"/>
      <c r="O396" s="1031"/>
    </row>
    <row r="397" spans="2:15" ht="30.75" customHeight="1">
      <c r="B397" s="1">
        <v>1</v>
      </c>
      <c r="C397" s="1" t="s">
        <v>1246</v>
      </c>
      <c r="D397" s="888"/>
      <c r="E397" s="1264" t="str">
        <f>IF(AND(D399="対象外",H398&gt;0.001),"★入力エラー：レベル１～５を選択し直してください！","")</f>
        <v/>
      </c>
      <c r="F397" s="917" t="str">
        <f>IF(F396=$S$15,$T$10,IF(ROUNDDOWN(F396,0)=$S$10,$U$10,$T$10))</f>
        <v>　レベル　1</v>
      </c>
      <c r="G397" s="3678" t="s">
        <v>2846</v>
      </c>
      <c r="H397" s="3806"/>
      <c r="I397" s="3806"/>
      <c r="J397" s="3807"/>
      <c r="K397" s="917" t="str">
        <f>IF(K396=$S$15,$T$10,IF(ROUNDDOWN(K396,0)=$S$10,$U$10,$T$10))</f>
        <v>　レベル　1</v>
      </c>
      <c r="L397" s="3678" t="s">
        <v>1788</v>
      </c>
      <c r="M397" s="3806"/>
      <c r="N397" s="3806"/>
      <c r="O397" s="3807"/>
    </row>
    <row r="398" spans="2:15" ht="15.75">
      <c r="B398" s="1" t="s">
        <v>1246</v>
      </c>
      <c r="C398" s="1" t="s">
        <v>1246</v>
      </c>
      <c r="D398" s="888"/>
      <c r="E398" s="1039"/>
      <c r="F398" s="922" t="str">
        <f>IF(F396=$S$15,$T$11,IF(ROUNDDOWN(F396,0)=$S$11,$U$11,$T$11))</f>
        <v>　レベル　2</v>
      </c>
      <c r="G398" s="3716" t="s">
        <v>1788</v>
      </c>
      <c r="H398" s="3717"/>
      <c r="I398" s="3717"/>
      <c r="J398" s="3718"/>
      <c r="K398" s="922" t="str">
        <f>IF(K396=$S$15,$T$11,IF(ROUNDDOWN(K396,0)=$S$11,$U$11,$T$11))</f>
        <v>　レベル　2</v>
      </c>
      <c r="L398" s="3716" t="s">
        <v>1788</v>
      </c>
      <c r="M398" s="3717"/>
      <c r="N398" s="3717"/>
      <c r="O398" s="3718"/>
    </row>
    <row r="399" spans="2:15" ht="35.25" customHeight="1">
      <c r="B399" s="1">
        <v>3</v>
      </c>
      <c r="C399" s="1">
        <v>3</v>
      </c>
      <c r="D399" s="888"/>
      <c r="E399" s="1039"/>
      <c r="F399" s="922" t="str">
        <f>IF(F396=$S$15,$T$12,IF(ROUNDDOWN(F396,0)=$S$12,$U$12,$T$12))</f>
        <v>■レベル　3</v>
      </c>
      <c r="G399" s="3716" t="s">
        <v>2847</v>
      </c>
      <c r="H399" s="3717"/>
      <c r="I399" s="3717"/>
      <c r="J399" s="3718"/>
      <c r="K399" s="922" t="str">
        <f>IF(K396=$S$15,$T$12,IF(ROUNDDOWN(K396,0)=$S$12,$U$12,$T$12))</f>
        <v>■レベル　3</v>
      </c>
      <c r="L399" s="3716" t="s">
        <v>1263</v>
      </c>
      <c r="M399" s="3717"/>
      <c r="N399" s="3717"/>
      <c r="O399" s="3718"/>
    </row>
    <row r="400" spans="2:15" ht="31.5" customHeight="1">
      <c r="B400" s="1">
        <v>4</v>
      </c>
      <c r="C400" s="1">
        <v>4</v>
      </c>
      <c r="D400" s="888"/>
      <c r="E400" s="1039"/>
      <c r="F400" s="922" t="str">
        <f>IF(F396=$S$15,$T$13,IF(ROUNDDOWN(F396,0)=$S$13,$U$13,$T$13))</f>
        <v>　レベル　4</v>
      </c>
      <c r="G400" s="3716" t="s">
        <v>2848</v>
      </c>
      <c r="H400" s="3717"/>
      <c r="I400" s="3717"/>
      <c r="J400" s="3718"/>
      <c r="K400" s="922" t="str">
        <f>IF(K396=$S$15,$T$13,IF(ROUNDDOWN(K396,0)=$S$13,$U$13,$T$13))</f>
        <v>　レベル　4</v>
      </c>
      <c r="L400" s="3716" t="s">
        <v>388</v>
      </c>
      <c r="M400" s="3717"/>
      <c r="N400" s="3717"/>
      <c r="O400" s="3718"/>
    </row>
    <row r="401" spans="2:15" ht="36.75" customHeight="1">
      <c r="B401" s="1">
        <v>5</v>
      </c>
      <c r="C401" s="1" t="s">
        <v>1246</v>
      </c>
      <c r="D401" s="888"/>
      <c r="E401" s="1039"/>
      <c r="F401" s="933" t="str">
        <f>IF(F396=$S$15,$T$14,IF(ROUNDDOWN(F396,0)=$S$14,$U$14,$T$14))</f>
        <v>　レベル　5</v>
      </c>
      <c r="G401" s="3707" t="s">
        <v>2849</v>
      </c>
      <c r="H401" s="3727"/>
      <c r="I401" s="3727"/>
      <c r="J401" s="3728"/>
      <c r="K401" s="933" t="str">
        <f>IF(K396=$S$15,$T$14,IF(ROUNDDOWN(K396,0)=$S$14,$U$14,$T$14))</f>
        <v>　レベル　5</v>
      </c>
      <c r="L401" s="3707" t="s">
        <v>1788</v>
      </c>
      <c r="M401" s="3727"/>
      <c r="N401" s="3727"/>
      <c r="O401" s="3728"/>
    </row>
    <row r="402" spans="2:15">
      <c r="B402" s="940">
        <v>0</v>
      </c>
      <c r="C402" s="940">
        <v>0</v>
      </c>
    </row>
  </sheetData>
  <sheetProtection algorithmName="SHA-512" hashValue="Qd0BQFEVRwanhg1H4GAygVnpVICL6x4hKI9t03RpeIEQ5Ergan8Y35GL/RmIc4n+15vgXcMJ7GZXAhT4Dv7+4g==" saltValue="gJdEwiiSMeXm8zxy/dcvsg==" spinCount="100000" sheet="1" objects="1" scenarios="1" selectLockedCells="1"/>
  <mergeCells count="324">
    <mergeCell ref="L62:O62"/>
    <mergeCell ref="L136:O136"/>
    <mergeCell ref="H160:J160"/>
    <mergeCell ref="L160:N160"/>
    <mergeCell ref="H161:J161"/>
    <mergeCell ref="G150:H150"/>
    <mergeCell ref="G397:J397"/>
    <mergeCell ref="K257:L257"/>
    <mergeCell ref="K265:L265"/>
    <mergeCell ref="G369:H369"/>
    <mergeCell ref="I369:J369"/>
    <mergeCell ref="N369:O369"/>
    <mergeCell ref="L358:O358"/>
    <mergeCell ref="G303:H303"/>
    <mergeCell ref="I303:J303"/>
    <mergeCell ref="G278:H278"/>
    <mergeCell ref="I278:J278"/>
    <mergeCell ref="G280:H280"/>
    <mergeCell ref="I280:J280"/>
    <mergeCell ref="G279:H279"/>
    <mergeCell ref="I279:J279"/>
    <mergeCell ref="G288:L288"/>
    <mergeCell ref="M299:N299"/>
    <mergeCell ref="G271:L271"/>
    <mergeCell ref="G28:N28"/>
    <mergeCell ref="G29:N29"/>
    <mergeCell ref="G30:N30"/>
    <mergeCell ref="G31:N31"/>
    <mergeCell ref="G32:N32"/>
    <mergeCell ref="L161:N161"/>
    <mergeCell ref="H162:J162"/>
    <mergeCell ref="L162:N162"/>
    <mergeCell ref="L133:O133"/>
    <mergeCell ref="L135:O135"/>
    <mergeCell ref="H158:J158"/>
    <mergeCell ref="L158:N158"/>
    <mergeCell ref="H159:J159"/>
    <mergeCell ref="L159:N159"/>
    <mergeCell ref="H155:J155"/>
    <mergeCell ref="L155:N155"/>
    <mergeCell ref="H153:J153"/>
    <mergeCell ref="N40:O40"/>
    <mergeCell ref="L138:O138"/>
    <mergeCell ref="L63:O63"/>
    <mergeCell ref="G42:H42"/>
    <mergeCell ref="I42:J42"/>
    <mergeCell ref="N42:O42"/>
    <mergeCell ref="G43:H43"/>
    <mergeCell ref="G12:H12"/>
    <mergeCell ref="I12:J12"/>
    <mergeCell ref="G13:H13"/>
    <mergeCell ref="I13:J13"/>
    <mergeCell ref="G39:H39"/>
    <mergeCell ref="G62:J62"/>
    <mergeCell ref="G201:H201"/>
    <mergeCell ref="G202:H202"/>
    <mergeCell ref="G21:J21"/>
    <mergeCell ref="I14:J14"/>
    <mergeCell ref="G136:K136"/>
    <mergeCell ref="G138:K138"/>
    <mergeCell ref="G53:J53"/>
    <mergeCell ref="K53:N53"/>
    <mergeCell ref="G41:H41"/>
    <mergeCell ref="I41:J41"/>
    <mergeCell ref="N41:O41"/>
    <mergeCell ref="I39:J39"/>
    <mergeCell ref="N39:O39"/>
    <mergeCell ref="G40:H40"/>
    <mergeCell ref="I40:J40"/>
    <mergeCell ref="H46:L46"/>
    <mergeCell ref="H47:L47"/>
    <mergeCell ref="L137:O137"/>
    <mergeCell ref="L21:O21"/>
    <mergeCell ref="L64:O64"/>
    <mergeCell ref="G65:J65"/>
    <mergeCell ref="L65:O65"/>
    <mergeCell ref="G66:J66"/>
    <mergeCell ref="L66:O66"/>
    <mergeCell ref="G64:J64"/>
    <mergeCell ref="G63:J63"/>
    <mergeCell ref="G248:J248"/>
    <mergeCell ref="L243:O243"/>
    <mergeCell ref="G242:J242"/>
    <mergeCell ref="K101:M101"/>
    <mergeCell ref="G110:I110"/>
    <mergeCell ref="L153:N153"/>
    <mergeCell ref="K56:N56"/>
    <mergeCell ref="G55:J55"/>
    <mergeCell ref="K55:N55"/>
    <mergeCell ref="G54:J54"/>
    <mergeCell ref="K54:N54"/>
    <mergeCell ref="G57:J57"/>
    <mergeCell ref="K57:N57"/>
    <mergeCell ref="I150:M150"/>
    <mergeCell ref="I151:K151"/>
    <mergeCell ref="H163:J163"/>
    <mergeCell ref="G277:H277"/>
    <mergeCell ref="I277:J277"/>
    <mergeCell ref="N177:O181"/>
    <mergeCell ref="H168:I168"/>
    <mergeCell ref="J168:N168"/>
    <mergeCell ref="H169:I169"/>
    <mergeCell ref="J169:N169"/>
    <mergeCell ref="L241:O241"/>
    <mergeCell ref="L242:O242"/>
    <mergeCell ref="L204:O204"/>
    <mergeCell ref="L239:O239"/>
    <mergeCell ref="L205:O205"/>
    <mergeCell ref="G213:J213"/>
    <mergeCell ref="G214:J214"/>
    <mergeCell ref="I205:J205"/>
    <mergeCell ref="G205:H205"/>
    <mergeCell ref="I188:K188"/>
    <mergeCell ref="L188:N188"/>
    <mergeCell ref="I185:K185"/>
    <mergeCell ref="L185:N185"/>
    <mergeCell ref="I202:J202"/>
    <mergeCell ref="G269:L269"/>
    <mergeCell ref="G203:H203"/>
    <mergeCell ref="I203:J203"/>
    <mergeCell ref="N349:O349"/>
    <mergeCell ref="L350:M350"/>
    <mergeCell ref="N350:O350"/>
    <mergeCell ref="L362:O362"/>
    <mergeCell ref="L352:M352"/>
    <mergeCell ref="G270:L270"/>
    <mergeCell ref="I260:J260"/>
    <mergeCell ref="K260:L260"/>
    <mergeCell ref="G293:L293"/>
    <mergeCell ref="G268:L268"/>
    <mergeCell ref="G291:L291"/>
    <mergeCell ref="G292:L292"/>
    <mergeCell ref="I299:J299"/>
    <mergeCell ref="G302:H302"/>
    <mergeCell ref="I302:J302"/>
    <mergeCell ref="K302:L302"/>
    <mergeCell ref="G313:N313"/>
    <mergeCell ref="G308:N308"/>
    <mergeCell ref="G309:N309"/>
    <mergeCell ref="G310:N310"/>
    <mergeCell ref="G341:L341"/>
    <mergeCell ref="G260:H260"/>
    <mergeCell ref="G262:H262"/>
    <mergeCell ref="K299:L299"/>
    <mergeCell ref="G401:J401"/>
    <mergeCell ref="L401:O401"/>
    <mergeCell ref="G399:J399"/>
    <mergeCell ref="L399:O399"/>
    <mergeCell ref="G400:J400"/>
    <mergeCell ref="L400:O400"/>
    <mergeCell ref="L382:O382"/>
    <mergeCell ref="N370:O370"/>
    <mergeCell ref="G371:H371"/>
    <mergeCell ref="L392:O392"/>
    <mergeCell ref="G389:J389"/>
    <mergeCell ref="N371:O371"/>
    <mergeCell ref="G370:H370"/>
    <mergeCell ref="G383:J383"/>
    <mergeCell ref="K371:L371"/>
    <mergeCell ref="G392:J392"/>
    <mergeCell ref="L389:O389"/>
    <mergeCell ref="G381:J381"/>
    <mergeCell ref="I371:J371"/>
    <mergeCell ref="G391:J391"/>
    <mergeCell ref="L391:O391"/>
    <mergeCell ref="L397:O397"/>
    <mergeCell ref="G398:J398"/>
    <mergeCell ref="L398:O398"/>
    <mergeCell ref="G373:H373"/>
    <mergeCell ref="F192:F193"/>
    <mergeCell ref="I192:K192"/>
    <mergeCell ref="L192:N192"/>
    <mergeCell ref="I193:K193"/>
    <mergeCell ref="L193:N193"/>
    <mergeCell ref="G191:H193"/>
    <mergeCell ref="I191:K191"/>
    <mergeCell ref="L191:N191"/>
    <mergeCell ref="I258:J258"/>
    <mergeCell ref="L240:O240"/>
    <mergeCell ref="I372:J372"/>
    <mergeCell ref="L349:M349"/>
    <mergeCell ref="N372:O372"/>
    <mergeCell ref="G368:H368"/>
    <mergeCell ref="N352:O352"/>
    <mergeCell ref="K369:L369"/>
    <mergeCell ref="K370:L370"/>
    <mergeCell ref="L351:M351"/>
    <mergeCell ref="G250:J250"/>
    <mergeCell ref="G300:H300"/>
    <mergeCell ref="K259:L259"/>
    <mergeCell ref="K303:L303"/>
    <mergeCell ref="M303:N303"/>
    <mergeCell ref="G390:J390"/>
    <mergeCell ref="L390:O390"/>
    <mergeCell ref="L388:O388"/>
    <mergeCell ref="K373:L373"/>
    <mergeCell ref="I370:J370"/>
    <mergeCell ref="G379:J379"/>
    <mergeCell ref="L379:O379"/>
    <mergeCell ref="G388:J388"/>
    <mergeCell ref="K258:L258"/>
    <mergeCell ref="I259:J259"/>
    <mergeCell ref="L383:O383"/>
    <mergeCell ref="I348:J348"/>
    <mergeCell ref="N351:O351"/>
    <mergeCell ref="L353:M353"/>
    <mergeCell ref="N353:O353"/>
    <mergeCell ref="I373:J373"/>
    <mergeCell ref="N373:O373"/>
    <mergeCell ref="G380:J380"/>
    <mergeCell ref="L380:O380"/>
    <mergeCell ref="K372:L372"/>
    <mergeCell ref="L361:O361"/>
    <mergeCell ref="L359:O359"/>
    <mergeCell ref="L360:O360"/>
    <mergeCell ref="G372:H372"/>
    <mergeCell ref="F189:F190"/>
    <mergeCell ref="I189:K189"/>
    <mergeCell ref="L189:N189"/>
    <mergeCell ref="I190:K190"/>
    <mergeCell ref="L190:N190"/>
    <mergeCell ref="G188:H190"/>
    <mergeCell ref="F186:F187"/>
    <mergeCell ref="I186:K186"/>
    <mergeCell ref="L186:N186"/>
    <mergeCell ref="I187:K187"/>
    <mergeCell ref="L187:N187"/>
    <mergeCell ref="G185:H187"/>
    <mergeCell ref="L163:N163"/>
    <mergeCell ref="H172:N172"/>
    <mergeCell ref="L14:M14"/>
    <mergeCell ref="N14:O14"/>
    <mergeCell ref="G19:J19"/>
    <mergeCell ref="L19:O19"/>
    <mergeCell ref="G23:J23"/>
    <mergeCell ref="L23:O23"/>
    <mergeCell ref="G10:H10"/>
    <mergeCell ref="I10:J10"/>
    <mergeCell ref="G11:H11"/>
    <mergeCell ref="I11:J11"/>
    <mergeCell ref="L10:M10"/>
    <mergeCell ref="N10:O10"/>
    <mergeCell ref="L11:M11"/>
    <mergeCell ref="N11:O11"/>
    <mergeCell ref="L12:M12"/>
    <mergeCell ref="N12:O12"/>
    <mergeCell ref="L13:M13"/>
    <mergeCell ref="G20:J20"/>
    <mergeCell ref="N13:O13"/>
    <mergeCell ref="G22:J22"/>
    <mergeCell ref="L22:O22"/>
    <mergeCell ref="G14:H14"/>
    <mergeCell ref="L20:O20"/>
    <mergeCell ref="L381:O381"/>
    <mergeCell ref="G382:J382"/>
    <mergeCell ref="G70:J70"/>
    <mergeCell ref="L70:O70"/>
    <mergeCell ref="G71:J71"/>
    <mergeCell ref="L71:O71"/>
    <mergeCell ref="G251:J251"/>
    <mergeCell ref="G252:J252"/>
    <mergeCell ref="G72:J72"/>
    <mergeCell ref="L72:O72"/>
    <mergeCell ref="G119:I119"/>
    <mergeCell ref="G73:J73"/>
    <mergeCell ref="L73:O73"/>
    <mergeCell ref="N80:O84"/>
    <mergeCell ref="N124:O128"/>
    <mergeCell ref="L132:O132"/>
    <mergeCell ref="G249:J249"/>
    <mergeCell ref="G215:J215"/>
    <mergeCell ref="L223:O223"/>
    <mergeCell ref="L224:O224"/>
    <mergeCell ref="L201:O201"/>
    <mergeCell ref="L202:O202"/>
    <mergeCell ref="I201:J201"/>
    <mergeCell ref="I43:J43"/>
    <mergeCell ref="N43:O43"/>
    <mergeCell ref="G56:J56"/>
    <mergeCell ref="G139:K139"/>
    <mergeCell ref="L139:O139"/>
    <mergeCell ref="H156:J156"/>
    <mergeCell ref="L156:N156"/>
    <mergeCell ref="H157:J157"/>
    <mergeCell ref="I262:J262"/>
    <mergeCell ref="K262:L262"/>
    <mergeCell ref="G259:H259"/>
    <mergeCell ref="G258:H258"/>
    <mergeCell ref="L157:N157"/>
    <mergeCell ref="L144:O144"/>
    <mergeCell ref="G148:H148"/>
    <mergeCell ref="I148:M148"/>
    <mergeCell ref="G149:H149"/>
    <mergeCell ref="I149:M149"/>
    <mergeCell ref="L140:O140"/>
    <mergeCell ref="L141:O141"/>
    <mergeCell ref="L142:O142"/>
    <mergeCell ref="L143:O143"/>
    <mergeCell ref="I204:J204"/>
    <mergeCell ref="G204:H204"/>
    <mergeCell ref="N1:O1"/>
    <mergeCell ref="H154:J154"/>
    <mergeCell ref="L154:N154"/>
    <mergeCell ref="G311:N311"/>
    <mergeCell ref="G312:N312"/>
    <mergeCell ref="G338:L338"/>
    <mergeCell ref="G301:H301"/>
    <mergeCell ref="I301:J301"/>
    <mergeCell ref="K301:L301"/>
    <mergeCell ref="M302:N302"/>
    <mergeCell ref="M301:N301"/>
    <mergeCell ref="G299:H299"/>
    <mergeCell ref="I300:J300"/>
    <mergeCell ref="G281:H281"/>
    <mergeCell ref="I281:J281"/>
    <mergeCell ref="G289:L289"/>
    <mergeCell ref="G290:L290"/>
    <mergeCell ref="G287:L287"/>
    <mergeCell ref="M300:N300"/>
    <mergeCell ref="K300:L300"/>
    <mergeCell ref="G261:H261"/>
    <mergeCell ref="I261:J261"/>
    <mergeCell ref="K261:L261"/>
    <mergeCell ref="L134:O134"/>
  </mergeCells>
  <phoneticPr fontId="21"/>
  <conditionalFormatting sqref="K9 K18 K200 K210 K219 K228 K238 K348 K357 M368 K387 K378 K396">
    <cfRule type="expression" dxfId="161" priority="17" stopIfTrue="1">
      <formula>AND(OR(K9&lt;1,K9&gt;5),K9&lt;&gt;0)</formula>
    </cfRule>
    <cfRule type="expression" dxfId="160" priority="18" stopIfTrue="1">
      <formula>$O8&gt;0</formula>
    </cfRule>
  </conditionalFormatting>
  <conditionalFormatting sqref="H333">
    <cfRule type="expression" dxfId="159" priority="19" stopIfTrue="1">
      <formula>J326&gt;0</formula>
    </cfRule>
  </conditionalFormatting>
  <conditionalFormatting sqref="F9 F18 F27 F52 F219 F200 F210 F228 F396 F348 F357 F368 F378 F387 F318 F238 F247">
    <cfRule type="expression" dxfId="158" priority="23" stopIfTrue="1">
      <formula>AND(OR(F9&lt;1,F9&gt;5),F9&lt;&gt;0)</formula>
    </cfRule>
    <cfRule type="expression" dxfId="157" priority="24" stopIfTrue="1">
      <formula>$J8&gt;0</formula>
    </cfRule>
  </conditionalFormatting>
  <conditionalFormatting sqref="H129">
    <cfRule type="expression" dxfId="156" priority="35" stopIfTrue="1">
      <formula>$J$122&gt;0</formula>
    </cfRule>
  </conditionalFormatting>
  <conditionalFormatting sqref="H85">
    <cfRule type="expression" dxfId="155" priority="38" stopIfTrue="1">
      <formula>$J$78&gt;0</formula>
    </cfRule>
  </conditionalFormatting>
  <conditionalFormatting sqref="H67">
    <cfRule type="expression" dxfId="154" priority="43" stopIfTrue="1">
      <formula>$J$60&gt;0</formula>
    </cfRule>
  </conditionalFormatting>
  <conditionalFormatting sqref="M67">
    <cfRule type="expression" dxfId="153" priority="44" stopIfTrue="1">
      <formula>$O$60&gt;0</formula>
    </cfRule>
  </conditionalFormatting>
  <conditionalFormatting sqref="K67">
    <cfRule type="expression" dxfId="152" priority="45" stopIfTrue="1">
      <formula>AND(OR(K67&lt;1,K67&gt;5),K67&lt;&gt;0)</formula>
    </cfRule>
    <cfRule type="expression" dxfId="151" priority="46" stopIfTrue="1">
      <formula>AND($O$60&gt;0,$M$67="する")</formula>
    </cfRule>
  </conditionalFormatting>
  <conditionalFormatting sqref="K101">
    <cfRule type="expression" dxfId="150" priority="14" stopIfTrue="1">
      <formula>$O$3=$U$3</formula>
    </cfRule>
  </conditionalFormatting>
  <conditionalFormatting sqref="F103:F109">
    <cfRule type="expression" dxfId="149" priority="15" stopIfTrue="1">
      <formula>OR($J$78=0,500&gt;=$M$78,$K$101&lt;&gt;$V$4)</formula>
    </cfRule>
  </conditionalFormatting>
  <conditionalFormatting sqref="F113:F118">
    <cfRule type="expression" dxfId="148" priority="16" stopIfTrue="1">
      <formula>AND($J$78&gt;0,$K$101&lt;&gt;$V$4,$M$78&gt;500)</formula>
    </cfRule>
  </conditionalFormatting>
  <conditionalFormatting sqref="I151">
    <cfRule type="expression" dxfId="147" priority="13" stopIfTrue="1">
      <formula>$O$3=$U$3</formula>
    </cfRule>
  </conditionalFormatting>
  <conditionalFormatting sqref="F163 F158:F159 F161 F153">
    <cfRule type="expression" dxfId="146" priority="10" stopIfTrue="1">
      <formula>AND($J$122&gt;0,$M$122&gt;500)</formula>
    </cfRule>
  </conditionalFormatting>
  <conditionalFormatting sqref="F154:F155">
    <cfRule type="expression" dxfId="145" priority="11" stopIfTrue="1">
      <formula>AND($J$122&gt;0,$M$122&gt;500,$I$151=$V$4)</formula>
    </cfRule>
  </conditionalFormatting>
  <conditionalFormatting sqref="F156:F157 F160 F162">
    <cfRule type="expression" dxfId="144" priority="12" stopIfTrue="1">
      <formula>AND($J$122&gt;0,$M$122&gt;500,$I$151&lt;&gt;$V$4)</formula>
    </cfRule>
  </conditionalFormatting>
  <conditionalFormatting sqref="F185:F193">
    <cfRule type="expression" dxfId="143" priority="6" stopIfTrue="1">
      <formula>$J$175&gt;0</formula>
    </cfRule>
  </conditionalFormatting>
  <conditionalFormatting sqref="H182">
    <cfRule type="expression" dxfId="142" priority="9" stopIfTrue="1">
      <formula>$J$175&gt;0</formula>
    </cfRule>
  </conditionalFormatting>
  <conditionalFormatting sqref="M38">
    <cfRule type="expression" dxfId="141" priority="47" stopIfTrue="1">
      <formula>AND(OR(M38&lt;1,M38&gt;5),M38&lt;&gt;0)</formula>
    </cfRule>
    <cfRule type="expression" dxfId="140" priority="48" stopIfTrue="1">
      <formula>$O36&gt;0</formula>
    </cfRule>
  </conditionalFormatting>
  <conditionalFormatting sqref="F38">
    <cfRule type="expression" dxfId="139" priority="50" stopIfTrue="1">
      <formula>AND(OR(F38&lt;1,F38&gt;5),F38&lt;&gt;0)</formula>
    </cfRule>
    <cfRule type="expression" dxfId="138" priority="51" stopIfTrue="1">
      <formula>$J36&gt;0</formula>
    </cfRule>
  </conditionalFormatting>
  <conditionalFormatting sqref="F46:F47">
    <cfRule type="expression" dxfId="137" priority="5" stopIfTrue="1">
      <formula>$J$36&gt;0</formula>
    </cfRule>
  </conditionalFormatting>
  <conditionalFormatting sqref="M46:M47">
    <cfRule type="expression" dxfId="136" priority="4" stopIfTrue="1">
      <formula>$O$36&gt;0</formula>
    </cfRule>
  </conditionalFormatting>
  <conditionalFormatting sqref="J129">
    <cfRule type="expression" dxfId="135" priority="3" stopIfTrue="1">
      <formula>AND($J$122&gt;0,$H$129&lt;&gt;"する")</formula>
    </cfRule>
  </conditionalFormatting>
  <conditionalFormatting sqref="F70:F73">
    <cfRule type="expression" dxfId="134" priority="106" stopIfTrue="1">
      <formula>AND($J$60&gt;0,$H$67&lt;&gt;"ON")</formula>
    </cfRule>
  </conditionalFormatting>
  <conditionalFormatting sqref="K70:K73">
    <cfRule type="expression" dxfId="133" priority="107" stopIfTrue="1">
      <formula>AND($O$60&gt;0,$M$67&lt;&gt;"ON")</formula>
    </cfRule>
  </conditionalFormatting>
  <conditionalFormatting sqref="F67 F85 F129 F182 F263 F282 F304 F333">
    <cfRule type="expression" dxfId="132" priority="114" stopIfTrue="1">
      <formula>AND(OR(F67&lt;1,F67&gt;5),F67&lt;&gt;0)</formula>
    </cfRule>
    <cfRule type="expression" dxfId="131" priority="115" stopIfTrue="1">
      <formula>AND($J60&gt;0,$H67="する")</formula>
    </cfRule>
  </conditionalFormatting>
  <conditionalFormatting sqref="F88:F99">
    <cfRule type="expression" dxfId="130" priority="127" stopIfTrue="1">
      <formula>AND($J$78&gt;0,$H$85=$T$4)</formula>
    </cfRule>
    <cfRule type="expression" dxfId="129" priority="128" stopIfTrue="1">
      <formula>$J$78&gt;0</formula>
    </cfRule>
  </conditionalFormatting>
  <conditionalFormatting sqref="F133:F144">
    <cfRule type="expression" dxfId="128" priority="149" stopIfTrue="1">
      <formula>AND($J$122&gt;0,$H$129&lt;&gt;"ON")</formula>
    </cfRule>
  </conditionalFormatting>
  <conditionalFormatting sqref="F132">
    <cfRule type="expression" dxfId="127" priority="150" stopIfTrue="1">
      <formula>AND($J$122&gt;0,$H$129&lt;&gt;"ON",$J$129="○")</formula>
    </cfRule>
  </conditionalFormatting>
  <conditionalFormatting sqref="H263">
    <cfRule type="expression" dxfId="126" priority="157" stopIfTrue="1">
      <formula>J256&gt;0</formula>
    </cfRule>
  </conditionalFormatting>
  <conditionalFormatting sqref="F268:F271">
    <cfRule type="expression" dxfId="125" priority="167" stopIfTrue="1">
      <formula>AND($J$256&gt;0.0001,H$263=$T$3)</formula>
    </cfRule>
  </conditionalFormatting>
  <conditionalFormatting sqref="H282">
    <cfRule type="expression" dxfId="124" priority="168" stopIfTrue="1">
      <formula>J275&gt;0</formula>
    </cfRule>
  </conditionalFormatting>
  <conditionalFormatting sqref="F287:F291">
    <cfRule type="expression" dxfId="123" priority="176" stopIfTrue="1">
      <formula>AND($J$275&gt;0.001,$H$282=$T$3)</formula>
    </cfRule>
  </conditionalFormatting>
  <conditionalFormatting sqref="F292:F293">
    <cfRule type="expression" dxfId="122" priority="177" stopIfTrue="1">
      <formula>AND($J$275&gt;0.001,$H$282=$T$3,$G$285&gt;0)</formula>
    </cfRule>
  </conditionalFormatting>
  <conditionalFormatting sqref="H304">
    <cfRule type="expression" dxfId="121" priority="178" stopIfTrue="1">
      <formula>J297&gt;0</formula>
    </cfRule>
  </conditionalFormatting>
  <conditionalFormatting sqref="F308:F313">
    <cfRule type="expression" dxfId="120" priority="185" stopIfTrue="1">
      <formula>AND($J$297&gt;0.001,$H$304=$T$3)</formula>
    </cfRule>
  </conditionalFormatting>
  <conditionalFormatting sqref="F336 F341">
    <cfRule type="expression" dxfId="119" priority="186" stopIfTrue="1">
      <formula>AND($J$326&gt;0.001,$H$333=$T$3)</formula>
    </cfRule>
  </conditionalFormatting>
  <conditionalFormatting sqref="F337:F340">
    <cfRule type="expression" dxfId="118" priority="188" stopIfTrue="1">
      <formula>AND($J$326&gt;0.001,$H$333=$T$3)</formula>
    </cfRule>
  </conditionalFormatting>
  <dataValidations count="17">
    <dataValidation type="list" allowBlank="1" showInputMessage="1" sqref="K9 K18 K200 K210 K219 K228 K238 K387 K396 K348 K357 M368 K378" xr:uid="{00000000-0002-0000-0700-000000000000}">
      <formula1>$C10:$C15</formula1>
    </dataValidation>
    <dataValidation type="list" allowBlank="1" showInputMessage="1" showErrorMessage="1" sqref="F336:F341 F268:F271 F287:F293 F308:F313" xr:uid="{00000000-0002-0000-0700-000001000000}">
      <formula1>$S$3:$S$4</formula1>
    </dataValidation>
    <dataValidation type="list" allowBlank="1" showInputMessage="1" sqref="F9 F18 F27 F52 F219 F200 F210 F228 F247 F238 F318 F368 F378 F387 F396 F348 F357" xr:uid="{00000000-0002-0000-0700-000002000000}">
      <formula1>$B10:$B15</formula1>
    </dataValidation>
    <dataValidation type="list" allowBlank="1" showInputMessage="1" showErrorMessage="1" sqref="H333 H304 M67 H67 H85 H129 H282 H263 H182" xr:uid="{00000000-0002-0000-0700-000003000000}">
      <formula1>$T$3:$T$4</formula1>
    </dataValidation>
    <dataValidation type="list" allowBlank="1" showInputMessage="1" showErrorMessage="1" sqref="F185 F191 F188" xr:uid="{00000000-0002-0000-0700-000004000000}">
      <formula1>"0,-1"</formula1>
    </dataValidation>
    <dataValidation type="list" allowBlank="1" showInputMessage="1" showErrorMessage="1" sqref="F160:F162 F107 F109 F157:F158 F153 F117:F118 F104 F192 F189 F186:F187" xr:uid="{00000000-0002-0000-0700-000005000000}">
      <formula1>"0,1"</formula1>
    </dataValidation>
    <dataValidation type="list" allowBlank="1" showInputMessage="1" showErrorMessage="1" sqref="F105 F113:F115 F103 F154:F155" xr:uid="{00000000-0002-0000-0700-000006000000}">
      <formula1>"0,3"</formula1>
    </dataValidation>
    <dataValidation type="list" allowBlank="1" showInputMessage="1" showErrorMessage="1" sqref="F116 F106 F108 F159 F156 F163" xr:uid="{00000000-0002-0000-0700-000007000000}">
      <formula1>"0,2"</formula1>
    </dataValidation>
    <dataValidation type="list" allowBlank="1" showInputMessage="1" showErrorMessage="1" sqref="K101:M101 I151:K151" xr:uid="{00000000-0002-0000-0700-000008000000}">
      <formula1>$V$3:$V$4</formula1>
    </dataValidation>
    <dataValidation type="list" allowBlank="1" showInputMessage="1" showErrorMessage="1" sqref="F132 F88" xr:uid="{00000000-0002-0000-0700-000009000000}">
      <formula1>"○, "</formula1>
    </dataValidation>
    <dataValidation type="list" allowBlank="1" showInputMessage="1" showErrorMessage="1" sqref="F133:F144 F70:F73 K70:K73 F89:F99 M46:M47 JI46:JI47 TE46:TE47 ADA46:ADA47 AMW46:AMW47 AWS46:AWS47 BGO46:BGO47 BQK46:BQK47 CAG46:CAG47 CKC46:CKC47 CTY46:CTY47 DDU46:DDU47 DNQ46:DNQ47 DXM46:DXM47 EHI46:EHI47 ERE46:ERE47 FBA46:FBA47 FKW46:FKW47 FUS46:FUS47 GEO46:GEO47 GOK46:GOK47 GYG46:GYG47 HIC46:HIC47 HRY46:HRY47 IBU46:IBU47 ILQ46:ILQ47 IVM46:IVM47 JFI46:JFI47 JPE46:JPE47 JZA46:JZA47 KIW46:KIW47 KSS46:KSS47 LCO46:LCO47 LMK46:LMK47 LWG46:LWG47 MGC46:MGC47 MPY46:MPY47 MZU46:MZU47 NJQ46:NJQ47 NTM46:NTM47 ODI46:ODI47 ONE46:ONE47 OXA46:OXA47 PGW46:PGW47 PQS46:PQS47 QAO46:QAO47 QKK46:QKK47 QUG46:QUG47 REC46:REC47 RNY46:RNY47 RXU46:RXU47 SHQ46:SHQ47 SRM46:SRM47 TBI46:TBI47 TLE46:TLE47 TVA46:TVA47 UEW46:UEW47 UOS46:UOS47 UYO46:UYO47 VIK46:VIK47 VSG46:VSG47 WCC46:WCC47 WLY46:WLY47 WVU46:WVU47 F46:F47 JB46:JB47 SX46:SX47 ACT46:ACT47 AMP46:AMP47 AWL46:AWL47 BGH46:BGH47 BQD46:BQD47 BZZ46:BZZ47 CJV46:CJV47 CTR46:CTR47 DDN46:DDN47 DNJ46:DNJ47 DXF46:DXF47 EHB46:EHB47 EQX46:EQX47 FAT46:FAT47 FKP46:FKP47 FUL46:FUL47 GEH46:GEH47 GOD46:GOD47 GXZ46:GXZ47 HHV46:HHV47 HRR46:HRR47 IBN46:IBN47 ILJ46:ILJ47 IVF46:IVF47 JFB46:JFB47 JOX46:JOX47 JYT46:JYT47 KIP46:KIP47 KSL46:KSL47 LCH46:LCH47 LMD46:LMD47 LVZ46:LVZ47 MFV46:MFV47 MPR46:MPR47 MZN46:MZN47 NJJ46:NJJ47 NTF46:NTF47 ODB46:ODB47 OMX46:OMX47 OWT46:OWT47 PGP46:PGP47 PQL46:PQL47 QAH46:QAH47 QKD46:QKD47 QTZ46:QTZ47 RDV46:RDV47 RNR46:RNR47 RXN46:RXN47 SHJ46:SHJ47 SRF46:SRF47 TBB46:TBB47 TKX46:TKX47 TUT46:TUT47 UEP46:UEP47 UOL46:UOL47 UYH46:UYH47 VID46:VID47 VRZ46:VRZ47 WBV46:WBV47 WLR46:WLR47 WVN46:WVN47 J129" xr:uid="{00000000-0002-0000-0700-00000A000000}">
      <formula1>"○,　"</formula1>
    </dataValidation>
    <dataValidation type="list" allowBlank="1" showInputMessage="1" sqref="M38" xr:uid="{00000000-0002-0000-0700-00000B000000}">
      <formula1>$C$39:$C$44</formula1>
    </dataValidation>
    <dataValidation type="list" allowBlank="1" showInputMessage="1" sqref="F38" xr:uid="{00000000-0002-0000-0700-00000C000000}">
      <formula1>$B$39:$B$44</formula1>
    </dataValidation>
    <dataValidation type="list" allowBlank="1" showInputMessage="1" sqref="K67" xr:uid="{00000000-0002-0000-0700-00000D000000}">
      <formula1>$C$62:$C$67</formula1>
    </dataValidation>
    <dataValidation type="list" allowBlank="1" showInputMessage="1" sqref="F67" xr:uid="{00000000-0002-0000-0700-00000E000000}">
      <formula1>$B$62:$B$67</formula1>
    </dataValidation>
    <dataValidation type="list" allowBlank="1" showInputMessage="1" sqref="F85 F129 F263 F282 F304 F333" xr:uid="{00000000-0002-0000-0700-00000F000000}">
      <formula1>$B80:$B85</formula1>
    </dataValidation>
    <dataValidation type="list" allowBlank="1" showInputMessage="1" sqref="F182" xr:uid="{00000000-0002-0000-0700-000010000000}">
      <formula1>$B184:$B189</formula1>
    </dataValidation>
  </dataValidations>
  <printOptions horizontalCentered="1"/>
  <pageMargins left="0.59055118110236227" right="0.59055118110236227" top="0.78740157480314965" bottom="0.59055118110236227" header="0.51181102362204722" footer="0.51181102362204722"/>
  <pageSetup paperSize="9" scale="64" fitToHeight="6" orientation="portrait" verticalDpi="4294967293" r:id="rId1"/>
  <headerFooter alignWithMargins="0">
    <oddHeader>&amp;L&amp;F&amp;R&amp;A</oddHeader>
    <oddFooter>&amp;C&amp;P/&amp;N</oddFooter>
  </headerFooter>
  <rowBreaks count="5" manualBreakCount="5">
    <brk id="49" min="2" max="15" man="1"/>
    <brk id="120" min="2" max="15" man="1"/>
    <brk id="216" min="2" max="15" man="1"/>
    <brk id="295" min="2" max="15" man="1"/>
    <brk id="365" min="2" max="15"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A1:U124"/>
  <sheetViews>
    <sheetView showGridLines="0" topLeftCell="A33" zoomScaleNormal="100" workbookViewId="0">
      <selection activeCell="G70" sqref="G70"/>
    </sheetView>
  </sheetViews>
  <sheetFormatPr defaultColWidth="0" defaultRowHeight="13.5" zeroHeight="1"/>
  <cols>
    <col min="1" max="1" width="2.375" customWidth="1"/>
    <col min="2" max="2" width="7.125" hidden="1" customWidth="1"/>
    <col min="3" max="3" width="3.375" hidden="1" customWidth="1"/>
    <col min="4" max="4" width="5" style="2307" customWidth="1"/>
    <col min="5" max="5" width="2.125" style="140" customWidth="1"/>
    <col min="6" max="8" width="12.125" style="140" customWidth="1"/>
    <col min="9" max="9" width="14.875" style="140" customWidth="1"/>
    <col min="10" max="15" width="12.125" style="140" customWidth="1"/>
    <col min="16" max="16" width="1.75" customWidth="1"/>
    <col min="17" max="17" width="10.125" hidden="1" customWidth="1"/>
    <col min="18" max="16384" width="9" hidden="1"/>
  </cols>
  <sheetData>
    <row r="1" spans="2:21" ht="15.75">
      <c r="D1" s="888"/>
      <c r="E1" s="1265"/>
      <c r="F1" s="1266"/>
      <c r="G1" s="1266"/>
      <c r="H1" s="1266"/>
      <c r="I1" s="1266"/>
      <c r="J1" s="1267"/>
      <c r="K1" s="1266"/>
      <c r="L1" s="1266"/>
      <c r="M1" s="887" t="s">
        <v>2215</v>
      </c>
      <c r="N1" s="3671" t="str">
        <f>メイン!C11</f>
        <v>○○ビル</v>
      </c>
      <c r="O1" s="3671"/>
    </row>
    <row r="2" spans="2:21" ht="16.5" thickBot="1">
      <c r="D2" s="888"/>
      <c r="E2" s="546"/>
      <c r="F2" s="889"/>
      <c r="G2" s="889"/>
      <c r="H2" s="889"/>
      <c r="I2" s="889"/>
      <c r="J2" s="1268"/>
      <c r="K2" s="889"/>
      <c r="L2" s="889"/>
      <c r="M2" s="889"/>
      <c r="N2" s="889"/>
      <c r="O2" s="889"/>
      <c r="S2" t="s">
        <v>1100</v>
      </c>
    </row>
    <row r="3" spans="2:21" ht="18.75" thickBot="1">
      <c r="D3" s="1269" t="s">
        <v>2129</v>
      </c>
      <c r="E3" s="1270"/>
      <c r="F3" s="890"/>
      <c r="G3" s="890"/>
      <c r="H3" s="891"/>
      <c r="I3" s="892" t="s">
        <v>2543</v>
      </c>
      <c r="J3" s="1271"/>
      <c r="K3" s="1271"/>
      <c r="L3" s="893"/>
      <c r="M3" s="893"/>
      <c r="N3" s="1271"/>
      <c r="O3" s="1272" t="str">
        <f>IF(メイン!E39=0,"",メイン!E39)</f>
        <v>実施設計段階</v>
      </c>
      <c r="R3" t="s">
        <v>3835</v>
      </c>
      <c r="S3" t="s">
        <v>2130</v>
      </c>
      <c r="T3" t="s">
        <v>3822</v>
      </c>
      <c r="U3" t="str">
        <f>メイン!I37</f>
        <v>基本設計段階</v>
      </c>
    </row>
    <row r="4" spans="2:21" ht="17.25">
      <c r="D4" s="888"/>
      <c r="E4" s="1270"/>
      <c r="F4" s="890"/>
      <c r="G4" s="890"/>
      <c r="H4" s="890"/>
      <c r="I4" s="890"/>
      <c r="J4" s="1273"/>
      <c r="K4" s="890"/>
      <c r="L4" s="890"/>
      <c r="M4" s="890"/>
      <c r="N4" s="890"/>
      <c r="O4" s="890"/>
      <c r="R4">
        <v>0</v>
      </c>
      <c r="T4" t="s">
        <v>3836</v>
      </c>
      <c r="U4" t="str">
        <f>メイン!I38</f>
        <v>実施設計段階</v>
      </c>
    </row>
    <row r="5" spans="2:21" ht="17.25">
      <c r="D5" s="1388">
        <v>1</v>
      </c>
      <c r="E5" s="1123" t="s">
        <v>389</v>
      </c>
      <c r="F5" s="896"/>
      <c r="G5" s="890"/>
      <c r="H5" s="890"/>
      <c r="I5" s="890"/>
      <c r="J5" s="1273"/>
      <c r="K5" s="890"/>
      <c r="L5" s="890"/>
      <c r="M5" s="890"/>
      <c r="N5" s="890"/>
      <c r="O5" s="890"/>
      <c r="R5">
        <v>1</v>
      </c>
      <c r="U5" t="str">
        <f>メイン!I39</f>
        <v>竣工段階</v>
      </c>
    </row>
    <row r="6" spans="2:21" ht="15" thickBot="1">
      <c r="D6" s="2310"/>
      <c r="E6" s="1274"/>
      <c r="F6" s="903"/>
      <c r="G6" s="904"/>
      <c r="H6" s="905" t="s">
        <v>3837</v>
      </c>
      <c r="I6" s="905"/>
      <c r="J6" s="905">
        <f>重み!M113</f>
        <v>0.3</v>
      </c>
      <c r="K6" s="905"/>
      <c r="L6" s="905"/>
      <c r="M6" s="3885"/>
      <c r="N6" s="3885"/>
      <c r="O6" s="1275"/>
      <c r="R6">
        <v>2</v>
      </c>
      <c r="S6" t="s">
        <v>2131</v>
      </c>
    </row>
    <row r="7" spans="2:21" ht="19.5" customHeight="1" thickBot="1">
      <c r="D7" s="1388"/>
      <c r="E7" s="1123"/>
      <c r="F7" s="1276">
        <f>ROUND(IF(H30&lt;=3,1,IF(H30&lt;=6,2,IF(H30&lt;=9,3,IF(H30&lt;=12,4,IF(H30&gt;=13,5))))),0)</f>
        <v>3</v>
      </c>
      <c r="G7" s="3950" t="s">
        <v>390</v>
      </c>
      <c r="H7" s="3951"/>
      <c r="I7" s="3951"/>
      <c r="J7" s="3951"/>
      <c r="K7" s="3951"/>
      <c r="L7" s="3951"/>
      <c r="M7" s="3951"/>
      <c r="N7" s="3951"/>
      <c r="O7" s="3951"/>
      <c r="R7" s="2445"/>
      <c r="S7" t="s">
        <v>2132</v>
      </c>
    </row>
    <row r="8" spans="2:21" ht="26.25" customHeight="1">
      <c r="D8" s="888"/>
      <c r="E8" s="898"/>
      <c r="F8" s="917" t="str">
        <f>IF(ROUNDDOWN($F$7,0)=$S$10,$U$10,$T$10)</f>
        <v>　レベル　1</v>
      </c>
      <c r="G8" s="919" t="s">
        <v>2904</v>
      </c>
      <c r="H8" s="920"/>
      <c r="I8" s="920"/>
      <c r="J8" s="920"/>
      <c r="K8" s="920"/>
      <c r="L8" s="920"/>
      <c r="M8" s="920"/>
      <c r="N8" s="920"/>
      <c r="O8" s="921"/>
      <c r="R8" t="s">
        <v>185</v>
      </c>
    </row>
    <row r="9" spans="2:21" ht="26.25" customHeight="1">
      <c r="D9" s="888"/>
      <c r="E9" s="898"/>
      <c r="F9" s="922" t="str">
        <f>IF(ROUNDDOWN($F$7,0)=$S$11,$U$11,$T$11)</f>
        <v>　レベル　2</v>
      </c>
      <c r="G9" s="926" t="s">
        <v>2905</v>
      </c>
      <c r="H9" s="927"/>
      <c r="I9" s="927"/>
      <c r="J9" s="927"/>
      <c r="K9" s="927"/>
      <c r="L9" s="927"/>
      <c r="M9" s="927"/>
      <c r="N9" s="927"/>
      <c r="O9" s="928"/>
    </row>
    <row r="10" spans="2:21" ht="26.25" customHeight="1">
      <c r="D10" s="888"/>
      <c r="E10" s="898"/>
      <c r="F10" s="922" t="str">
        <f>IF(ROUNDDOWN($F$7,0)=$S$12,$U$12,$T$12)</f>
        <v>■レベル　3</v>
      </c>
      <c r="G10" s="926" t="s">
        <v>2906</v>
      </c>
      <c r="H10" s="927"/>
      <c r="I10" s="927"/>
      <c r="J10" s="927"/>
      <c r="K10" s="927"/>
      <c r="L10" s="927"/>
      <c r="M10" s="927"/>
      <c r="N10" s="927"/>
      <c r="O10" s="928"/>
      <c r="S10">
        <v>1</v>
      </c>
      <c r="T10" t="s">
        <v>2133</v>
      </c>
      <c r="U10" t="s">
        <v>2134</v>
      </c>
    </row>
    <row r="11" spans="2:21" ht="27" customHeight="1">
      <c r="D11" s="888"/>
      <c r="E11" s="898"/>
      <c r="F11" s="922" t="str">
        <f>IF(ROUNDDOWN($F$7,0)=$S$13,$U$13,$T$13)</f>
        <v>　レベル　4</v>
      </c>
      <c r="G11" s="926" t="s">
        <v>2907</v>
      </c>
      <c r="H11" s="927"/>
      <c r="I11" s="927"/>
      <c r="J11" s="927"/>
      <c r="K11" s="927"/>
      <c r="L11" s="927"/>
      <c r="M11" s="927"/>
      <c r="N11" s="927"/>
      <c r="O11" s="928"/>
      <c r="S11">
        <v>2</v>
      </c>
      <c r="T11" t="s">
        <v>1101</v>
      </c>
      <c r="U11" t="s">
        <v>1102</v>
      </c>
    </row>
    <row r="12" spans="2:21" ht="26.25" customHeight="1">
      <c r="D12" s="888"/>
      <c r="E12" s="898"/>
      <c r="F12" s="933" t="str">
        <f>IF(ROUNDDOWN($F$7,0)=$S$14,$U$14,$T$14)</f>
        <v>　レベル　5</v>
      </c>
      <c r="G12" s="937" t="s">
        <v>2908</v>
      </c>
      <c r="H12" s="938"/>
      <c r="I12" s="938"/>
      <c r="J12" s="938"/>
      <c r="K12" s="938"/>
      <c r="L12" s="938"/>
      <c r="M12" s="938"/>
      <c r="N12" s="938"/>
      <c r="O12" s="939"/>
      <c r="S12">
        <v>3</v>
      </c>
      <c r="T12" t="s">
        <v>1107</v>
      </c>
      <c r="U12" t="s">
        <v>1108</v>
      </c>
    </row>
    <row r="13" spans="2:21" ht="20.25" customHeight="1">
      <c r="D13" s="888"/>
      <c r="E13" s="898"/>
      <c r="F13" s="1265"/>
      <c r="G13" s="1278" t="s">
        <v>3838</v>
      </c>
      <c r="H13" s="889"/>
      <c r="I13" s="1279"/>
      <c r="J13" s="1268"/>
      <c r="K13" s="889"/>
      <c r="L13" s="889"/>
      <c r="M13" s="889"/>
      <c r="N13" s="889"/>
      <c r="O13" s="889"/>
      <c r="S13">
        <v>4</v>
      </c>
      <c r="T13" t="s">
        <v>994</v>
      </c>
      <c r="U13" t="s">
        <v>995</v>
      </c>
    </row>
    <row r="14" spans="2:21" ht="16.5" thickBot="1">
      <c r="D14" s="888"/>
      <c r="E14" s="898"/>
      <c r="F14" s="1265"/>
      <c r="G14" s="1280" t="s">
        <v>187</v>
      </c>
      <c r="H14" s="3888" t="s">
        <v>1434</v>
      </c>
      <c r="I14" s="3889"/>
      <c r="J14" s="3888" t="s">
        <v>1430</v>
      </c>
      <c r="K14" s="3889"/>
      <c r="L14" s="3889"/>
      <c r="M14" s="3889"/>
      <c r="N14" s="3890"/>
      <c r="O14" s="1175" t="s">
        <v>1435</v>
      </c>
      <c r="S14">
        <v>5</v>
      </c>
      <c r="T14" t="s">
        <v>1001</v>
      </c>
      <c r="U14" t="s">
        <v>1002</v>
      </c>
    </row>
    <row r="15" spans="2:21" ht="34.5" customHeight="1">
      <c r="B15" s="1094" t="s">
        <v>188</v>
      </c>
      <c r="D15" s="888"/>
      <c r="E15" s="546"/>
      <c r="F15" s="1265"/>
      <c r="G15" s="1282">
        <v>2</v>
      </c>
      <c r="H15" s="3774" t="s">
        <v>2135</v>
      </c>
      <c r="I15" s="3952"/>
      <c r="J15" s="3957" t="s">
        <v>3839</v>
      </c>
      <c r="K15" s="3957"/>
      <c r="L15" s="3957"/>
      <c r="M15" s="3957"/>
      <c r="N15" s="3958"/>
      <c r="O15" s="1283">
        <v>2</v>
      </c>
      <c r="S15">
        <v>0</v>
      </c>
      <c r="T15" t="s">
        <v>2136</v>
      </c>
      <c r="U15" t="s">
        <v>2136</v>
      </c>
    </row>
    <row r="16" spans="2:21" ht="27" customHeight="1">
      <c r="B16" s="1094"/>
      <c r="D16" s="888"/>
      <c r="E16" s="546"/>
      <c r="F16" s="1265"/>
      <c r="G16" s="1284">
        <v>2</v>
      </c>
      <c r="H16" s="3762" t="s">
        <v>2137</v>
      </c>
      <c r="I16" s="3953"/>
      <c r="J16" s="3754" t="s">
        <v>3840</v>
      </c>
      <c r="K16" s="3839"/>
      <c r="L16" s="3839"/>
      <c r="M16" s="3839"/>
      <c r="N16" s="3840"/>
      <c r="O16" s="1287">
        <v>2</v>
      </c>
    </row>
    <row r="17" spans="2:15" ht="34.5" customHeight="1">
      <c r="D17" s="888"/>
      <c r="E17" s="546"/>
      <c r="F17" s="1265"/>
      <c r="G17" s="3910">
        <v>1</v>
      </c>
      <c r="H17" s="3959" t="s">
        <v>177</v>
      </c>
      <c r="I17" s="3960"/>
      <c r="J17" s="3871" t="s">
        <v>3841</v>
      </c>
      <c r="K17" s="3872"/>
      <c r="L17" s="3872"/>
      <c r="M17" s="3872"/>
      <c r="N17" s="3873"/>
      <c r="O17" s="3954" t="s">
        <v>189</v>
      </c>
    </row>
    <row r="18" spans="2:15" ht="27" customHeight="1">
      <c r="D18" s="888"/>
      <c r="E18" s="546"/>
      <c r="F18" s="1265"/>
      <c r="G18" s="3965"/>
      <c r="H18" s="3961"/>
      <c r="I18" s="3962"/>
      <c r="J18" s="3793" t="s">
        <v>2909</v>
      </c>
      <c r="K18" s="3897"/>
      <c r="L18" s="3897"/>
      <c r="M18" s="3897"/>
      <c r="N18" s="3898"/>
      <c r="O18" s="3955"/>
    </row>
    <row r="19" spans="2:15" ht="27" customHeight="1">
      <c r="D19" s="888"/>
      <c r="E19" s="546"/>
      <c r="F19" s="1265"/>
      <c r="G19" s="3966"/>
      <c r="H19" s="3961"/>
      <c r="I19" s="3962"/>
      <c r="J19" s="3759" t="s">
        <v>2910</v>
      </c>
      <c r="K19" s="3863"/>
      <c r="L19" s="3863"/>
      <c r="M19" s="3863"/>
      <c r="N19" s="3864"/>
      <c r="O19" s="3956"/>
    </row>
    <row r="20" spans="2:15" ht="27" customHeight="1">
      <c r="D20" s="888"/>
      <c r="E20" s="546"/>
      <c r="F20" s="1265"/>
      <c r="G20" s="3910">
        <v>2</v>
      </c>
      <c r="H20" s="3961"/>
      <c r="I20" s="3962"/>
      <c r="J20" s="3871" t="s">
        <v>3849</v>
      </c>
      <c r="K20" s="3872"/>
      <c r="L20" s="3872"/>
      <c r="M20" s="3872"/>
      <c r="N20" s="3873"/>
      <c r="O20" s="3954" t="s">
        <v>190</v>
      </c>
    </row>
    <row r="21" spans="2:15" ht="27" customHeight="1">
      <c r="D21" s="888"/>
      <c r="E21" s="546"/>
      <c r="F21" s="1265"/>
      <c r="G21" s="3966"/>
      <c r="H21" s="3963"/>
      <c r="I21" s="3964"/>
      <c r="J21" s="3759" t="s">
        <v>2911</v>
      </c>
      <c r="K21" s="3863"/>
      <c r="L21" s="3863"/>
      <c r="M21" s="3863"/>
      <c r="N21" s="3864"/>
      <c r="O21" s="3956"/>
    </row>
    <row r="22" spans="2:15" ht="27" customHeight="1">
      <c r="D22" s="888"/>
      <c r="E22" s="546"/>
      <c r="F22" s="1265"/>
      <c r="G22" s="1289">
        <v>0</v>
      </c>
      <c r="H22" s="3903" t="s">
        <v>931</v>
      </c>
      <c r="I22" s="3904"/>
      <c r="J22" s="3754" t="s">
        <v>3842</v>
      </c>
      <c r="K22" s="3839"/>
      <c r="L22" s="3839"/>
      <c r="M22" s="3839"/>
      <c r="N22" s="3840"/>
      <c r="O22" s="1287">
        <v>2</v>
      </c>
    </row>
    <row r="23" spans="2:15" s="2445" customFormat="1" ht="27" customHeight="1">
      <c r="D23" s="888"/>
      <c r="E23" s="546"/>
      <c r="F23" s="3048"/>
      <c r="G23" s="1289">
        <v>0</v>
      </c>
      <c r="H23" s="3905"/>
      <c r="I23" s="3906"/>
      <c r="J23" s="1152" t="s">
        <v>3843</v>
      </c>
      <c r="K23" s="3050"/>
      <c r="L23" s="3050"/>
      <c r="M23" s="3050"/>
      <c r="N23" s="3051"/>
      <c r="O23" s="1287">
        <v>2</v>
      </c>
    </row>
    <row r="24" spans="2:15" ht="27" customHeight="1">
      <c r="D24" s="888"/>
      <c r="E24" s="546"/>
      <c r="F24" s="1265"/>
      <c r="G24" s="1289">
        <v>0</v>
      </c>
      <c r="H24" s="3907"/>
      <c r="I24" s="3906"/>
      <c r="J24" s="3754" t="s">
        <v>3844</v>
      </c>
      <c r="K24" s="3839"/>
      <c r="L24" s="3839"/>
      <c r="M24" s="3839"/>
      <c r="N24" s="3840"/>
      <c r="O24" s="1287">
        <v>2</v>
      </c>
    </row>
    <row r="25" spans="2:15" ht="27" customHeight="1">
      <c r="D25" s="888"/>
      <c r="E25" s="546"/>
      <c r="F25" s="1265"/>
      <c r="G25" s="1289">
        <v>0</v>
      </c>
      <c r="H25" s="3908"/>
      <c r="I25" s="3909"/>
      <c r="J25" s="3754" t="s">
        <v>3845</v>
      </c>
      <c r="K25" s="3839"/>
      <c r="L25" s="3839"/>
      <c r="M25" s="3839"/>
      <c r="N25" s="3840"/>
      <c r="O25" s="1287">
        <v>2</v>
      </c>
    </row>
    <row r="26" spans="2:15" ht="27" customHeight="1">
      <c r="D26" s="888"/>
      <c r="E26" s="546"/>
      <c r="F26" s="1265"/>
      <c r="G26" s="1289">
        <v>0</v>
      </c>
      <c r="H26" s="3903" t="s">
        <v>932</v>
      </c>
      <c r="I26" s="3904"/>
      <c r="J26" s="3754" t="s">
        <v>3846</v>
      </c>
      <c r="K26" s="3839"/>
      <c r="L26" s="3839"/>
      <c r="M26" s="3839"/>
      <c r="N26" s="3840"/>
      <c r="O26" s="1287">
        <v>1</v>
      </c>
    </row>
    <row r="27" spans="2:15" ht="27" customHeight="1">
      <c r="D27" s="888"/>
      <c r="E27" s="546"/>
      <c r="F27" s="1265"/>
      <c r="G27" s="1289">
        <v>0</v>
      </c>
      <c r="H27" s="3908"/>
      <c r="I27" s="3909"/>
      <c r="J27" s="3754" t="s">
        <v>3847</v>
      </c>
      <c r="K27" s="3839"/>
      <c r="L27" s="3839"/>
      <c r="M27" s="3839"/>
      <c r="N27" s="3840"/>
      <c r="O27" s="1287">
        <v>1</v>
      </c>
    </row>
    <row r="28" spans="2:15" ht="27" customHeight="1">
      <c r="D28" s="888"/>
      <c r="E28" s="546"/>
      <c r="F28" s="1265"/>
      <c r="G28" s="3910">
        <v>0</v>
      </c>
      <c r="H28" s="3914" t="s">
        <v>2298</v>
      </c>
      <c r="I28" s="3914"/>
      <c r="J28" s="3754" t="s">
        <v>3850</v>
      </c>
      <c r="K28" s="3839"/>
      <c r="L28" s="3839"/>
      <c r="M28" s="3839"/>
      <c r="N28" s="3840"/>
      <c r="O28" s="3916">
        <v>1</v>
      </c>
    </row>
    <row r="29" spans="2:15" s="2445" customFormat="1" ht="27" customHeight="1">
      <c r="D29" s="888"/>
      <c r="E29" s="546"/>
      <c r="F29" s="3049"/>
      <c r="G29" s="3911"/>
      <c r="H29" s="3915"/>
      <c r="I29" s="3915"/>
      <c r="J29" s="3918"/>
      <c r="K29" s="3919"/>
      <c r="L29" s="3919"/>
      <c r="M29" s="3919"/>
      <c r="N29" s="3920"/>
      <c r="O29" s="3917"/>
    </row>
    <row r="30" spans="2:15" ht="25.5" customHeight="1">
      <c r="D30" s="888"/>
      <c r="E30" s="546"/>
      <c r="F30" s="1265"/>
      <c r="G30" s="1170" t="s">
        <v>2299</v>
      </c>
      <c r="H30" s="3033">
        <f>SUM(G15:G28)</f>
        <v>7</v>
      </c>
      <c r="I30" s="3032" t="s">
        <v>3851</v>
      </c>
      <c r="J30" s="1172"/>
      <c r="K30" s="1173"/>
      <c r="L30" s="1172"/>
      <c r="M30" s="1173"/>
      <c r="N30" s="1172"/>
      <c r="O30" s="1182"/>
    </row>
    <row r="31" spans="2:15" s="2510" customFormat="1" ht="18" customHeight="1" thickBot="1">
      <c r="B31" s="2553"/>
      <c r="C31" s="2553"/>
      <c r="D31" s="2553"/>
      <c r="G31" s="2554" t="s">
        <v>2854</v>
      </c>
    </row>
    <row r="32" spans="2:15" s="2510" customFormat="1" ht="18" customHeight="1" thickBot="1">
      <c r="B32" s="2553"/>
      <c r="C32" s="2553"/>
      <c r="D32" s="2553"/>
      <c r="G32" s="2555" t="str">
        <f>IF((COUNTIF(G15:G16,"&gt;0")+COUNTIF(G23:G24,"&gt;0"))&gt;=2,"○","")</f>
        <v>○</v>
      </c>
      <c r="H32" s="3735" t="s">
        <v>3848</v>
      </c>
      <c r="I32" s="3736"/>
      <c r="J32" s="3736"/>
      <c r="K32" s="3736"/>
      <c r="L32" s="3736"/>
      <c r="M32" s="3736"/>
      <c r="N32" s="3736"/>
      <c r="O32" s="3737"/>
    </row>
    <row r="33" spans="2:15" s="2510" customFormat="1" ht="18" customHeight="1">
      <c r="B33" s="2553"/>
      <c r="C33" s="2553"/>
      <c r="D33" s="2553"/>
      <c r="G33" s="1580"/>
      <c r="H33"/>
      <c r="I33"/>
      <c r="J33"/>
      <c r="K33"/>
      <c r="L33"/>
      <c r="M33"/>
      <c r="N33"/>
      <c r="O33"/>
    </row>
    <row r="34" spans="2:15" ht="14.25" customHeight="1"/>
    <row r="35" spans="2:15" s="2510" customFormat="1" ht="18" customHeight="1">
      <c r="B35" s="2553"/>
      <c r="C35" s="2553"/>
      <c r="D35" s="2560">
        <v>2</v>
      </c>
      <c r="E35" s="2561" t="s">
        <v>191</v>
      </c>
      <c r="F35" s="2513"/>
    </row>
    <row r="36" spans="2:15" s="2510" customFormat="1" ht="18" customHeight="1" thickBot="1">
      <c r="B36" s="2553"/>
      <c r="C36" s="2553"/>
      <c r="D36" s="2553"/>
      <c r="E36" s="2562"/>
      <c r="F36" s="2517"/>
      <c r="G36" s="2563"/>
      <c r="H36" s="904" t="s">
        <v>1121</v>
      </c>
      <c r="I36" s="2152"/>
      <c r="J36" s="3052">
        <f>重み!M116</f>
        <v>0.4</v>
      </c>
      <c r="K36" s="2564"/>
      <c r="L36" s="2564"/>
      <c r="M36" s="3935"/>
      <c r="N36" s="3935"/>
      <c r="O36" s="2565"/>
    </row>
    <row r="37" spans="2:15" s="2510" customFormat="1" ht="18" customHeight="1" thickBot="1">
      <c r="B37" s="2553"/>
      <c r="C37" s="2553"/>
      <c r="D37" s="1021"/>
      <c r="E37" s="2556"/>
      <c r="F37" s="2074">
        <f>IF(F38+N47&gt;=3,IF(F38+N47&gt;=5,5,F38+N47),F38)</f>
        <v>3</v>
      </c>
      <c r="G37" s="3936" t="s">
        <v>390</v>
      </c>
      <c r="H37" s="3935"/>
      <c r="I37" s="3935"/>
      <c r="J37" s="3935"/>
      <c r="K37" s="3935"/>
      <c r="L37" s="3935"/>
      <c r="M37" s="3935"/>
      <c r="N37" s="3935"/>
      <c r="O37" s="3937"/>
    </row>
    <row r="38" spans="2:15" s="2510" customFormat="1" ht="18" customHeight="1" thickBot="1">
      <c r="B38" s="2553"/>
      <c r="C38" s="2553"/>
      <c r="D38" s="1021"/>
      <c r="E38" s="2556"/>
      <c r="F38" s="2557">
        <v>3</v>
      </c>
      <c r="G38" s="2558"/>
      <c r="H38" s="2558"/>
      <c r="I38" s="2558"/>
      <c r="J38" s="2558"/>
      <c r="K38" s="2558"/>
      <c r="L38" s="2558"/>
      <c r="M38" s="2558"/>
      <c r="N38" s="2558"/>
      <c r="O38" s="2559"/>
    </row>
    <row r="39" spans="2:15" s="2510" customFormat="1" ht="18" customHeight="1">
      <c r="B39" s="2553">
        <v>1</v>
      </c>
      <c r="C39" s="2553">
        <v>1</v>
      </c>
      <c r="D39" s="1021"/>
      <c r="E39" s="2514"/>
      <c r="F39" s="2566" t="str">
        <f>IF(ROUNDDOWN($F$38,0)=$S$10,$U$10,$T$10)</f>
        <v>　レベル　1</v>
      </c>
      <c r="G39" s="3921" t="s">
        <v>2855</v>
      </c>
      <c r="H39" s="3922"/>
      <c r="I39" s="3922"/>
      <c r="J39" s="3922"/>
      <c r="K39" s="3922"/>
      <c r="L39" s="3922"/>
      <c r="M39" s="3922"/>
      <c r="N39" s="3922"/>
      <c r="O39" s="3923"/>
    </row>
    <row r="40" spans="2:15" s="2510" customFormat="1" ht="18" customHeight="1">
      <c r="B40" s="2553" t="s">
        <v>2856</v>
      </c>
      <c r="C40" s="2553" t="s">
        <v>2856</v>
      </c>
      <c r="D40" s="1021"/>
      <c r="E40" s="2514"/>
      <c r="F40" s="2566" t="str">
        <f>IF(ROUNDDOWN($F$38,0)=$S$11,$U$11,$T$11)</f>
        <v>　レベル　2</v>
      </c>
      <c r="G40" s="3912" t="s">
        <v>2857</v>
      </c>
      <c r="H40" s="3924"/>
      <c r="I40" s="3924"/>
      <c r="J40" s="3924"/>
      <c r="K40" s="3924"/>
      <c r="L40" s="3924"/>
      <c r="M40" s="3924"/>
      <c r="N40" s="3924"/>
      <c r="O40" s="3913"/>
    </row>
    <row r="41" spans="2:15" s="2510" customFormat="1" ht="18" customHeight="1">
      <c r="B41" s="2553">
        <v>3</v>
      </c>
      <c r="C41" s="2553">
        <v>3</v>
      </c>
      <c r="D41" s="1021"/>
      <c r="E41" s="2514"/>
      <c r="F41" s="2566" t="str">
        <f>IF(ROUNDDOWN($F$38,0)=$S$12,$U$12,$T$12)</f>
        <v>■レベル　3</v>
      </c>
      <c r="G41" s="3912" t="s">
        <v>2858</v>
      </c>
      <c r="H41" s="3924"/>
      <c r="I41" s="3924"/>
      <c r="J41" s="3924"/>
      <c r="K41" s="3924"/>
      <c r="L41" s="3924"/>
      <c r="M41" s="3924"/>
      <c r="N41" s="3924"/>
      <c r="O41" s="3913"/>
    </row>
    <row r="42" spans="2:15" s="2510" customFormat="1" ht="18" customHeight="1">
      <c r="B42" s="2553">
        <v>4</v>
      </c>
      <c r="C42" s="2553">
        <v>4</v>
      </c>
      <c r="D42" s="1021"/>
      <c r="E42" s="2514"/>
      <c r="F42" s="2566" t="str">
        <f>IF(ROUNDDOWN($F$38,0)=$S$13,$U$13,$T$13)</f>
        <v>　レベル　4</v>
      </c>
      <c r="G42" s="3912" t="s">
        <v>2859</v>
      </c>
      <c r="H42" s="3924"/>
      <c r="I42" s="3924"/>
      <c r="J42" s="3924"/>
      <c r="K42" s="3924"/>
      <c r="L42" s="3924"/>
      <c r="M42" s="3924"/>
      <c r="N42" s="3924"/>
      <c r="O42" s="3913"/>
    </row>
    <row r="43" spans="2:15" s="2510" customFormat="1" ht="18" customHeight="1">
      <c r="B43" s="2553">
        <v>5</v>
      </c>
      <c r="C43" s="2553">
        <v>5</v>
      </c>
      <c r="D43" s="1021"/>
      <c r="E43" s="2514"/>
      <c r="F43" s="2567" t="str">
        <f>IF(ROUNDDOWN($F$38,0)=$S$14,$U$14,$T$14)</f>
        <v>　レベル　5</v>
      </c>
      <c r="G43" s="3925" t="s">
        <v>2860</v>
      </c>
      <c r="H43" s="3926"/>
      <c r="I43" s="3926"/>
      <c r="J43" s="3926"/>
      <c r="K43" s="3926"/>
      <c r="L43" s="3926"/>
      <c r="M43" s="3926"/>
      <c r="N43" s="3926"/>
      <c r="O43" s="3927"/>
    </row>
    <row r="44" spans="2:15" s="2510" customFormat="1" ht="18" customHeight="1" thickBot="1">
      <c r="B44" s="2568">
        <v>0</v>
      </c>
      <c r="C44" s="2568">
        <v>0</v>
      </c>
      <c r="D44" s="1021"/>
      <c r="E44" s="2569"/>
      <c r="F44" s="2569"/>
      <c r="G44" s="2570" t="s">
        <v>2733</v>
      </c>
      <c r="H44" s="2569"/>
      <c r="I44" s="2569"/>
      <c r="J44" s="2569"/>
      <c r="K44" s="2569"/>
      <c r="L44" s="2569"/>
      <c r="M44" s="2569"/>
      <c r="N44" s="2569"/>
      <c r="O44" s="2569"/>
    </row>
    <row r="45" spans="2:15" s="2510" customFormat="1" ht="18" customHeight="1">
      <c r="B45" s="2553"/>
      <c r="C45" s="2553"/>
      <c r="D45" s="1021"/>
      <c r="E45" s="2562"/>
      <c r="G45" s="2571" t="str">
        <f>IF(J36&gt;0,IF(COUNTIF(G50:G55,"○")&gt;=3,"○",""),"")</f>
        <v/>
      </c>
      <c r="H45" s="2572" t="s">
        <v>2740</v>
      </c>
      <c r="I45" s="3847" t="s">
        <v>2861</v>
      </c>
      <c r="J45" s="3848"/>
      <c r="K45" s="3848"/>
      <c r="L45" s="3848"/>
      <c r="M45" s="3848"/>
      <c r="N45" s="3848"/>
      <c r="O45" s="3928"/>
    </row>
    <row r="46" spans="2:15" s="2510" customFormat="1" ht="18" customHeight="1" thickBot="1">
      <c r="B46" s="2553"/>
      <c r="C46" s="2553"/>
      <c r="D46" s="1021"/>
      <c r="E46" s="2562"/>
      <c r="G46" s="2573" t="str">
        <f>IF(J36&gt;0,IF(F62=5,"○",""),"")</f>
        <v/>
      </c>
      <c r="H46" s="2574" t="s">
        <v>2744</v>
      </c>
      <c r="I46" s="3929" t="s">
        <v>2862</v>
      </c>
      <c r="J46" s="3930"/>
      <c r="K46" s="3930"/>
      <c r="L46" s="3930"/>
      <c r="M46" s="3930"/>
      <c r="N46" s="3930"/>
      <c r="O46" s="3931"/>
    </row>
    <row r="47" spans="2:15" s="2510" customFormat="1" ht="18" customHeight="1">
      <c r="B47" s="2553"/>
      <c r="C47" s="2553"/>
      <c r="D47" s="1021"/>
      <c r="E47" s="2562"/>
      <c r="G47" s="2575"/>
      <c r="H47" s="3932"/>
      <c r="I47" s="3932"/>
      <c r="J47" s="2576"/>
      <c r="K47" s="2577"/>
      <c r="L47" s="2576"/>
      <c r="M47" s="2578" t="s">
        <v>2745</v>
      </c>
      <c r="N47" s="2579">
        <f>COUNTIF(G45:G46,"○")</f>
        <v>0</v>
      </c>
      <c r="O47" s="2580" t="s">
        <v>2863</v>
      </c>
    </row>
    <row r="48" spans="2:15" s="2510" customFormat="1" ht="18" customHeight="1" thickBot="1">
      <c r="B48" s="2553"/>
      <c r="C48" s="2553"/>
      <c r="D48" s="1021"/>
      <c r="E48" s="2581"/>
      <c r="F48" s="1580"/>
      <c r="G48" s="2582" t="s">
        <v>2864</v>
      </c>
      <c r="H48" s="2583"/>
      <c r="I48" s="2583"/>
      <c r="J48" s="2583"/>
      <c r="K48" s="2583"/>
      <c r="L48" s="2583"/>
      <c r="M48" s="2583"/>
      <c r="N48" s="2583"/>
      <c r="O48" s="2583"/>
    </row>
    <row r="49" spans="2:15" s="2510" customFormat="1" ht="18" customHeight="1" thickBot="1">
      <c r="B49" s="2553"/>
      <c r="C49" s="2553"/>
      <c r="D49" s="1021"/>
      <c r="E49" s="2581"/>
      <c r="F49" s="1580"/>
      <c r="G49" s="2584" t="s">
        <v>2865</v>
      </c>
      <c r="H49" s="3933" t="s">
        <v>1772</v>
      </c>
      <c r="I49" s="3934"/>
      <c r="J49" s="3949" t="s">
        <v>2866</v>
      </c>
      <c r="K49" s="3934"/>
      <c r="L49" s="3949" t="s">
        <v>2867</v>
      </c>
      <c r="M49" s="3934"/>
      <c r="N49" s="3949" t="s">
        <v>2868</v>
      </c>
      <c r="O49" s="3934"/>
    </row>
    <row r="50" spans="2:15" s="2510" customFormat="1" ht="48" customHeight="1">
      <c r="B50" s="2553"/>
      <c r="C50" s="2553"/>
      <c r="D50" s="1021"/>
      <c r="E50" s="2581"/>
      <c r="F50" s="1580"/>
      <c r="G50" s="2585" t="str">
        <f>IF(J36&gt;0,IF(COUNTIF(採点Q1!F293,"○")+COUNTIF(採点Q1!K293,"○")&gt;=1,"○",""),"")</f>
        <v>○</v>
      </c>
      <c r="H50" s="2586" t="s">
        <v>2869</v>
      </c>
      <c r="I50" s="2587" t="s">
        <v>2870</v>
      </c>
      <c r="J50" s="3921" t="s">
        <v>2871</v>
      </c>
      <c r="K50" s="3923"/>
      <c r="L50" s="3921" t="s">
        <v>2872</v>
      </c>
      <c r="M50" s="3923"/>
      <c r="N50" s="3921" t="s">
        <v>2873</v>
      </c>
      <c r="O50" s="3923"/>
    </row>
    <row r="51" spans="2:15" s="2510" customFormat="1" ht="48" customHeight="1">
      <c r="B51" s="2553"/>
      <c r="C51" s="2553"/>
      <c r="D51" s="1021"/>
      <c r="E51" s="2581"/>
      <c r="F51" s="1580"/>
      <c r="G51" s="2588" t="str">
        <f>IF(J36&gt;0,IF(採点Q1!F307&gt;=3,IF(COUNTIF(採点Q1!F315,"○")+COUNTIF(採点Q1!K315,"○")&gt;=1,"○",""),""),"")</f>
        <v/>
      </c>
      <c r="H51" s="2589" t="s">
        <v>3282</v>
      </c>
      <c r="I51" s="2590" t="s">
        <v>2874</v>
      </c>
      <c r="J51" s="3912" t="s">
        <v>2875</v>
      </c>
      <c r="K51" s="3913"/>
      <c r="L51" s="3912" t="s">
        <v>2876</v>
      </c>
      <c r="M51" s="3913"/>
      <c r="N51" s="3912" t="s">
        <v>2877</v>
      </c>
      <c r="O51" s="3913"/>
    </row>
    <row r="52" spans="2:15" s="2510" customFormat="1" ht="48" customHeight="1">
      <c r="B52" s="2553"/>
      <c r="C52" s="2553"/>
      <c r="D52" s="1021"/>
      <c r="E52" s="2581"/>
      <c r="F52" s="1580"/>
      <c r="G52" s="2588" t="str">
        <f>IF(J36&gt;0,IF(F7&gt;=3,IF(COUNTIF(G32,"○")=1,"○",""),""),"")</f>
        <v>○</v>
      </c>
      <c r="H52" s="2589" t="s">
        <v>2878</v>
      </c>
      <c r="I52" s="2590" t="s">
        <v>2879</v>
      </c>
      <c r="J52" s="3912" t="s">
        <v>2880</v>
      </c>
      <c r="K52" s="3913"/>
      <c r="L52" s="3912" t="s">
        <v>2881</v>
      </c>
      <c r="M52" s="3913"/>
      <c r="N52" s="3912" t="s">
        <v>2882</v>
      </c>
      <c r="O52" s="3913"/>
    </row>
    <row r="53" spans="2:15" s="2510" customFormat="1" ht="48" customHeight="1">
      <c r="B53" s="2553"/>
      <c r="C53" s="2553"/>
      <c r="D53" s="1021"/>
      <c r="E53" s="2581"/>
      <c r="F53" s="1580"/>
      <c r="G53" s="2588" t="str">
        <f>IF(J36&gt;0,IF(F95&gt;=4,"○",""),"")</f>
        <v/>
      </c>
      <c r="H53" s="2589" t="s">
        <v>2883</v>
      </c>
      <c r="I53" s="2590" t="s">
        <v>2884</v>
      </c>
      <c r="J53" s="3912" t="s">
        <v>2885</v>
      </c>
      <c r="K53" s="3913"/>
      <c r="L53" s="3912" t="s">
        <v>2886</v>
      </c>
      <c r="M53" s="3913"/>
      <c r="N53" s="3912" t="s">
        <v>2888</v>
      </c>
      <c r="O53" s="3913"/>
    </row>
    <row r="54" spans="2:15" s="2510" customFormat="1" ht="114" customHeight="1">
      <c r="B54" s="2553"/>
      <c r="C54" s="2553"/>
      <c r="D54" s="1021"/>
      <c r="E54" s="2581"/>
      <c r="F54" s="1580"/>
      <c r="G54" s="2588" t="str">
        <f>IF(J36&gt;0,IF(採点LR3!F31&gt;=4,"○",""),"")</f>
        <v/>
      </c>
      <c r="H54" s="2589" t="s">
        <v>2889</v>
      </c>
      <c r="I54" s="2590" t="s">
        <v>2890</v>
      </c>
      <c r="J54" s="3912" t="s">
        <v>2891</v>
      </c>
      <c r="K54" s="3913"/>
      <c r="L54" s="3912" t="s">
        <v>2892</v>
      </c>
      <c r="M54" s="3913"/>
      <c r="N54" s="3912" t="s">
        <v>2887</v>
      </c>
      <c r="O54" s="3913"/>
    </row>
    <row r="55" spans="2:15" s="2510" customFormat="1" ht="48" customHeight="1" thickBot="1">
      <c r="B55" s="2553"/>
      <c r="C55" s="2553"/>
      <c r="D55" s="1021"/>
      <c r="E55" s="2581"/>
      <c r="F55" s="1580"/>
      <c r="G55" s="2591" t="str">
        <f>IF(J36&gt;0,IF(採点LR3!F234&gt;=3,IF(COUNTIF(採点LR3!F242,"○")=1,"○",""),""),"")</f>
        <v/>
      </c>
      <c r="H55" s="2592" t="s">
        <v>2893</v>
      </c>
      <c r="I55" s="2593" t="s">
        <v>2894</v>
      </c>
      <c r="J55" s="3947" t="s">
        <v>2895</v>
      </c>
      <c r="K55" s="3948"/>
      <c r="L55" s="3947" t="s">
        <v>2896</v>
      </c>
      <c r="M55" s="3948"/>
      <c r="N55" s="3947" t="s">
        <v>2897</v>
      </c>
      <c r="O55" s="3948"/>
    </row>
    <row r="56" spans="2:15" s="2510" customFormat="1" ht="18" customHeight="1">
      <c r="B56" s="2553"/>
      <c r="C56" s="2553"/>
      <c r="D56" s="1021"/>
      <c r="E56" s="2581"/>
      <c r="F56" s="1580"/>
      <c r="G56" s="2594" t="s">
        <v>2898</v>
      </c>
      <c r="H56" s="2595">
        <f>IF(F38&gt;0,COUNTIF(G50:G55,"○"),"")</f>
        <v>2</v>
      </c>
      <c r="I56" s="2596"/>
      <c r="J56" s="2596"/>
      <c r="K56" s="2596"/>
      <c r="L56" s="2596"/>
      <c r="M56" s="2596"/>
      <c r="N56" s="2596"/>
      <c r="O56" s="2597"/>
    </row>
    <row r="57" spans="2:15" s="2510" customFormat="1" ht="18" customHeight="1">
      <c r="B57" s="2553"/>
      <c r="C57" s="2553"/>
      <c r="D57" s="1021"/>
      <c r="E57" s="2581"/>
      <c r="F57" s="1580"/>
      <c r="G57"/>
      <c r="H57"/>
      <c r="I57"/>
      <c r="J57"/>
      <c r="K57"/>
      <c r="L57"/>
      <c r="M57"/>
      <c r="N57"/>
      <c r="O57"/>
    </row>
    <row r="58" spans="2:15" ht="15.75">
      <c r="D58" s="888"/>
      <c r="E58" s="893"/>
      <c r="F58" s="1039"/>
      <c r="G58" s="1085"/>
      <c r="H58" s="1085"/>
      <c r="I58" s="1085"/>
      <c r="J58" s="1085"/>
      <c r="K58" s="1085"/>
      <c r="L58" s="1085"/>
      <c r="M58" s="1085"/>
      <c r="N58" s="1085"/>
      <c r="O58" s="1085"/>
    </row>
    <row r="59" spans="2:15" ht="13.5" customHeight="1">
      <c r="D59" s="2311">
        <v>3</v>
      </c>
      <c r="E59" s="1123" t="s">
        <v>192</v>
      </c>
      <c r="F59" s="895"/>
      <c r="G59" s="896"/>
      <c r="H59" s="896"/>
      <c r="I59" s="1294"/>
      <c r="J59" s="896"/>
      <c r="K59" s="896"/>
      <c r="L59" s="896"/>
      <c r="M59" s="896"/>
      <c r="N59" s="896"/>
      <c r="O59" s="896"/>
    </row>
    <row r="60" spans="2:15" ht="13.5" customHeight="1">
      <c r="D60" s="1388">
        <v>3.1</v>
      </c>
      <c r="E60" s="1123" t="s">
        <v>2912</v>
      </c>
      <c r="F60" s="896"/>
      <c r="G60" s="896"/>
      <c r="H60" s="896"/>
      <c r="I60" s="1294"/>
      <c r="J60" s="896"/>
      <c r="K60" s="896"/>
      <c r="L60" s="896"/>
      <c r="M60" s="896"/>
      <c r="N60" s="896"/>
      <c r="O60" s="896"/>
    </row>
    <row r="61" spans="2:15" ht="15" thickBot="1">
      <c r="B61" t="s">
        <v>614</v>
      </c>
      <c r="D61" s="2310"/>
      <c r="E61" s="1274"/>
      <c r="F61" s="903"/>
      <c r="G61" s="904"/>
      <c r="H61" s="905" t="s">
        <v>3852</v>
      </c>
      <c r="I61" s="905"/>
      <c r="J61" s="905">
        <f>重み!M118</f>
        <v>0.5</v>
      </c>
      <c r="K61" s="905"/>
      <c r="L61" s="905"/>
      <c r="M61" s="3885"/>
      <c r="N61" s="3885"/>
      <c r="O61" s="1275"/>
    </row>
    <row r="62" spans="2:15" ht="23.25" customHeight="1" thickBot="1">
      <c r="B62" s="1147" t="s">
        <v>2071</v>
      </c>
      <c r="C62" t="s">
        <v>106</v>
      </c>
      <c r="D62" s="888"/>
      <c r="E62" s="898"/>
      <c r="F62" s="1295">
        <f>ROUND(IF(H91&lt;1,1,IF(H91=1,2,IF(H91&lt;=3,3,IF(H91&lt;=4,4,IF(H91&gt;=5,5))))),0)</f>
        <v>3</v>
      </c>
      <c r="G62" s="3886" t="s">
        <v>390</v>
      </c>
      <c r="H62" s="3887"/>
      <c r="I62" s="3887"/>
      <c r="J62" s="3887"/>
      <c r="K62" s="3887"/>
      <c r="L62" s="3887"/>
      <c r="M62" s="3887"/>
      <c r="N62" s="3887"/>
      <c r="O62" s="3677"/>
    </row>
    <row r="63" spans="2:15" ht="24.75" customHeight="1">
      <c r="D63" s="888"/>
      <c r="E63" s="898"/>
      <c r="F63" s="917" t="str">
        <f>IF(ROUNDDOWN($F$62,0)=$S$10,$U$10,$T$10)</f>
        <v>　レベル　1</v>
      </c>
      <c r="G63" s="919" t="s">
        <v>193</v>
      </c>
      <c r="H63" s="920"/>
      <c r="I63" s="920"/>
      <c r="J63" s="920"/>
      <c r="K63" s="920"/>
      <c r="L63" s="920"/>
      <c r="M63" s="920"/>
      <c r="N63" s="920"/>
      <c r="O63" s="921"/>
    </row>
    <row r="64" spans="2:15" ht="24.75" customHeight="1">
      <c r="D64" s="888"/>
      <c r="E64" s="898"/>
      <c r="F64" s="922" t="str">
        <f>IF(ROUNDDOWN($F$62,0)=$S$11,$U$11,$T$11)</f>
        <v>　レベル　2</v>
      </c>
      <c r="G64" s="926" t="s">
        <v>194</v>
      </c>
      <c r="H64" s="927"/>
      <c r="I64" s="927"/>
      <c r="J64" s="927"/>
      <c r="K64" s="927"/>
      <c r="L64" s="927"/>
      <c r="M64" s="927"/>
      <c r="N64" s="927"/>
      <c r="O64" s="928"/>
    </row>
    <row r="65" spans="2:15" ht="24.75" customHeight="1">
      <c r="D65" s="888"/>
      <c r="E65" s="898"/>
      <c r="F65" s="922" t="str">
        <f>IF(ROUNDDOWN($F$62,0)=$S$12,$U$12,$T$12)</f>
        <v>■レベル　3</v>
      </c>
      <c r="G65" s="926" t="s">
        <v>868</v>
      </c>
      <c r="H65" s="927"/>
      <c r="I65" s="927"/>
      <c r="J65" s="927"/>
      <c r="K65" s="927"/>
      <c r="L65" s="927"/>
      <c r="M65" s="927"/>
      <c r="N65" s="927"/>
      <c r="O65" s="928"/>
    </row>
    <row r="66" spans="2:15" ht="24.75" customHeight="1">
      <c r="D66" s="888"/>
      <c r="E66" s="898"/>
      <c r="F66" s="922" t="str">
        <f>IF(ROUNDDOWN($F$62,0)=$S$13,$U$13,$T$13)</f>
        <v>　レベル　4</v>
      </c>
      <c r="G66" s="926" t="s">
        <v>869</v>
      </c>
      <c r="H66" s="927"/>
      <c r="I66" s="927"/>
      <c r="J66" s="927"/>
      <c r="K66" s="927"/>
      <c r="L66" s="927"/>
      <c r="M66" s="927"/>
      <c r="N66" s="927"/>
      <c r="O66" s="928"/>
    </row>
    <row r="67" spans="2:15" ht="24.75" customHeight="1">
      <c r="D67" s="888"/>
      <c r="E67" s="898"/>
      <c r="F67" s="933" t="str">
        <f>IF(ROUNDDOWN($F$62,0)=$S$14,$U$14,$T$14)</f>
        <v>　レベル　5</v>
      </c>
      <c r="G67" s="937" t="s">
        <v>870</v>
      </c>
      <c r="H67" s="938"/>
      <c r="I67" s="938"/>
      <c r="J67" s="938"/>
      <c r="K67" s="938"/>
      <c r="L67" s="938"/>
      <c r="M67" s="938"/>
      <c r="N67" s="938"/>
      <c r="O67" s="939"/>
    </row>
    <row r="68" spans="2:15" ht="23.25" customHeight="1">
      <c r="D68" s="888"/>
      <c r="E68" s="898"/>
      <c r="F68" s="1265"/>
      <c r="G68" s="1278" t="s">
        <v>2030</v>
      </c>
      <c r="H68" s="889"/>
      <c r="I68" s="1279"/>
      <c r="J68" s="1268"/>
      <c r="K68" s="889"/>
      <c r="L68" s="889"/>
      <c r="M68" s="889"/>
      <c r="N68" s="889"/>
      <c r="O68" s="889"/>
    </row>
    <row r="69" spans="2:15" ht="28.5" customHeight="1" thickBot="1">
      <c r="D69" s="888"/>
      <c r="E69" s="898"/>
      <c r="F69" s="1265"/>
      <c r="G69" s="1280" t="s">
        <v>187</v>
      </c>
      <c r="H69" s="3888" t="s">
        <v>1434</v>
      </c>
      <c r="I69" s="3889"/>
      <c r="J69" s="3888" t="s">
        <v>1430</v>
      </c>
      <c r="K69" s="3889"/>
      <c r="L69" s="3889"/>
      <c r="M69" s="3889"/>
      <c r="N69" s="3890"/>
      <c r="O69" s="1175" t="s">
        <v>1435</v>
      </c>
    </row>
    <row r="70" spans="2:15" ht="48" customHeight="1">
      <c r="D70" s="888"/>
      <c r="E70" s="546"/>
      <c r="F70" s="1265"/>
      <c r="G70" s="1296">
        <v>1</v>
      </c>
      <c r="H70" s="3899" t="s">
        <v>3855</v>
      </c>
      <c r="I70" s="3900"/>
      <c r="J70" s="3816" t="s">
        <v>2935</v>
      </c>
      <c r="K70" s="3775"/>
      <c r="L70" s="3775"/>
      <c r="M70" s="3775"/>
      <c r="N70" s="3776"/>
      <c r="O70" s="1297">
        <v>1</v>
      </c>
    </row>
    <row r="71" spans="2:15" ht="57.75" customHeight="1">
      <c r="D71" s="888"/>
      <c r="E71" s="546"/>
      <c r="F71" s="1265"/>
      <c r="G71" s="1298">
        <v>1</v>
      </c>
      <c r="H71" s="3901"/>
      <c r="I71" s="3902"/>
      <c r="J71" s="3871" t="s">
        <v>2936</v>
      </c>
      <c r="K71" s="3872"/>
      <c r="L71" s="3872"/>
      <c r="M71" s="3872"/>
      <c r="N71" s="3873"/>
      <c r="O71" s="1293">
        <v>1</v>
      </c>
    </row>
    <row r="72" spans="2:15" ht="15.75" customHeight="1">
      <c r="D72" s="888"/>
      <c r="E72" s="546"/>
      <c r="F72" s="1265"/>
      <c r="G72" s="3874">
        <v>1</v>
      </c>
      <c r="H72" s="3865" t="s">
        <v>3854</v>
      </c>
      <c r="I72" s="3882"/>
      <c r="J72" s="3871" t="s">
        <v>527</v>
      </c>
      <c r="K72" s="3872"/>
      <c r="L72" s="3872"/>
      <c r="M72" s="3872"/>
      <c r="N72" s="3873"/>
      <c r="O72" s="3892">
        <v>1</v>
      </c>
    </row>
    <row r="73" spans="2:15" ht="53.25" customHeight="1">
      <c r="D73" s="888"/>
      <c r="E73" s="546"/>
      <c r="F73" s="1265"/>
      <c r="G73" s="3876"/>
      <c r="H73" s="3867"/>
      <c r="I73" s="3883"/>
      <c r="J73" s="3793" t="s">
        <v>2913</v>
      </c>
      <c r="K73" s="3897"/>
      <c r="L73" s="3897"/>
      <c r="M73" s="3897"/>
      <c r="N73" s="3898"/>
      <c r="O73" s="3893"/>
    </row>
    <row r="74" spans="2:15" ht="31.5" customHeight="1">
      <c r="D74" s="888"/>
      <c r="E74" s="546"/>
      <c r="F74" s="1265"/>
      <c r="G74" s="3875"/>
      <c r="H74" s="3867"/>
      <c r="I74" s="3883"/>
      <c r="J74" s="3793" t="s">
        <v>2914</v>
      </c>
      <c r="K74" s="3897"/>
      <c r="L74" s="3897"/>
      <c r="M74" s="3897"/>
      <c r="N74" s="3898"/>
      <c r="O74" s="3894"/>
    </row>
    <row r="75" spans="2:15" ht="52.5" customHeight="1">
      <c r="D75" s="888"/>
      <c r="E75" s="546"/>
      <c r="F75" s="1265"/>
      <c r="G75" s="3874">
        <v>0</v>
      </c>
      <c r="H75" s="3867"/>
      <c r="I75" s="3883"/>
      <c r="J75" s="3754" t="s">
        <v>2915</v>
      </c>
      <c r="K75" s="3839"/>
      <c r="L75" s="3839"/>
      <c r="M75" s="3839"/>
      <c r="N75" s="3840"/>
      <c r="O75" s="1301">
        <v>1</v>
      </c>
    </row>
    <row r="76" spans="2:15" ht="40.5" customHeight="1">
      <c r="D76" s="888"/>
      <c r="E76" s="546"/>
      <c r="F76" s="1265"/>
      <c r="G76" s="3875"/>
      <c r="H76" s="3869"/>
      <c r="I76" s="3884"/>
      <c r="J76" s="3754" t="s">
        <v>2916</v>
      </c>
      <c r="K76" s="3839"/>
      <c r="L76" s="3839"/>
      <c r="M76" s="3839"/>
      <c r="N76" s="3840"/>
      <c r="O76" s="1300"/>
    </row>
    <row r="77" spans="2:15" s="2510" customFormat="1" ht="48" customHeight="1">
      <c r="B77" s="2553"/>
      <c r="C77" s="2553"/>
      <c r="D77" s="1021"/>
      <c r="E77" s="2562"/>
      <c r="G77" s="2603">
        <v>0</v>
      </c>
      <c r="H77" s="3945" t="s">
        <v>2901</v>
      </c>
      <c r="I77" s="3946"/>
      <c r="J77" s="3912" t="s">
        <v>2902</v>
      </c>
      <c r="K77" s="3940"/>
      <c r="L77" s="3940"/>
      <c r="M77" s="3940"/>
      <c r="N77" s="3941"/>
      <c r="O77" s="2602">
        <v>2</v>
      </c>
    </row>
    <row r="78" spans="2:15" ht="20.25" customHeight="1">
      <c r="D78" s="888"/>
      <c r="E78" s="546"/>
      <c r="F78" s="1265"/>
      <c r="G78" s="3874">
        <v>0</v>
      </c>
      <c r="H78" s="3865" t="s">
        <v>3853</v>
      </c>
      <c r="I78" s="3866"/>
      <c r="J78" s="3871" t="s">
        <v>528</v>
      </c>
      <c r="K78" s="3872"/>
      <c r="L78" s="3872"/>
      <c r="M78" s="3872"/>
      <c r="N78" s="3873"/>
      <c r="O78" s="3892">
        <v>1</v>
      </c>
    </row>
    <row r="79" spans="2:15" ht="55.5" customHeight="1">
      <c r="D79" s="888"/>
      <c r="E79" s="546"/>
      <c r="F79" s="1265"/>
      <c r="G79" s="3876"/>
      <c r="H79" s="3867"/>
      <c r="I79" s="3868"/>
      <c r="J79" s="3793" t="s">
        <v>2917</v>
      </c>
      <c r="K79" s="3897"/>
      <c r="L79" s="3897"/>
      <c r="M79" s="3897"/>
      <c r="N79" s="3898"/>
      <c r="O79" s="3893"/>
    </row>
    <row r="80" spans="2:15" ht="46.5" customHeight="1">
      <c r="D80" s="888"/>
      <c r="E80" s="546"/>
      <c r="F80" s="1265"/>
      <c r="G80" s="3875"/>
      <c r="H80" s="3869"/>
      <c r="I80" s="3870"/>
      <c r="J80" s="3759" t="s">
        <v>2918</v>
      </c>
      <c r="K80" s="3863"/>
      <c r="L80" s="3863"/>
      <c r="M80" s="3863"/>
      <c r="N80" s="3864"/>
      <c r="O80" s="3894"/>
    </row>
    <row r="81" spans="2:15" ht="23.25" customHeight="1">
      <c r="D81" s="888"/>
      <c r="E81" s="546"/>
      <c r="F81" s="1265"/>
      <c r="G81" s="3874">
        <v>0</v>
      </c>
      <c r="H81" s="3865" t="s">
        <v>1738</v>
      </c>
      <c r="I81" s="3866"/>
      <c r="J81" s="3871" t="s">
        <v>978</v>
      </c>
      <c r="K81" s="3872"/>
      <c r="L81" s="3872"/>
      <c r="M81" s="3872"/>
      <c r="N81" s="3873"/>
      <c r="O81" s="3942">
        <v>1</v>
      </c>
    </row>
    <row r="82" spans="2:15" ht="48" customHeight="1">
      <c r="D82" s="888"/>
      <c r="E82" s="546"/>
      <c r="F82" s="1265"/>
      <c r="G82" s="3876"/>
      <c r="H82" s="3867"/>
      <c r="I82" s="3868"/>
      <c r="J82" s="3793" t="s">
        <v>2919</v>
      </c>
      <c r="K82" s="3897"/>
      <c r="L82" s="3897"/>
      <c r="M82" s="3897"/>
      <c r="N82" s="3898"/>
      <c r="O82" s="3943"/>
    </row>
    <row r="83" spans="2:15" ht="46.5" customHeight="1">
      <c r="D83" s="888"/>
      <c r="E83" s="546"/>
      <c r="F83" s="1265"/>
      <c r="G83" s="3876"/>
      <c r="H83" s="3867"/>
      <c r="I83" s="3868"/>
      <c r="J83" s="3793" t="s">
        <v>2920</v>
      </c>
      <c r="K83" s="3897"/>
      <c r="L83" s="3897"/>
      <c r="M83" s="3897"/>
      <c r="N83" s="3898"/>
      <c r="O83" s="3943"/>
    </row>
    <row r="84" spans="2:15" ht="51.75" customHeight="1">
      <c r="D84" s="888"/>
      <c r="E84" s="546"/>
      <c r="F84" s="1265"/>
      <c r="G84" s="3876"/>
      <c r="H84" s="3869"/>
      <c r="I84" s="3870"/>
      <c r="J84" s="3759" t="s">
        <v>2921</v>
      </c>
      <c r="K84" s="3863"/>
      <c r="L84" s="3863"/>
      <c r="M84" s="3863"/>
      <c r="N84" s="3864"/>
      <c r="O84" s="3944"/>
    </row>
    <row r="85" spans="2:15" ht="51.75" hidden="1" customHeight="1">
      <c r="B85" s="1094" t="s">
        <v>1739</v>
      </c>
      <c r="D85" s="888"/>
      <c r="E85" s="546"/>
      <c r="F85" s="1265"/>
      <c r="G85" s="1298">
        <v>0</v>
      </c>
      <c r="H85" s="3880" t="s">
        <v>1740</v>
      </c>
      <c r="I85" s="3881"/>
      <c r="J85" s="3754" t="s">
        <v>1741</v>
      </c>
      <c r="K85" s="3839"/>
      <c r="L85" s="3839"/>
      <c r="M85" s="3839"/>
      <c r="N85" s="3840"/>
      <c r="O85" s="1302">
        <v>1</v>
      </c>
    </row>
    <row r="86" spans="2:15" ht="51" customHeight="1">
      <c r="D86" s="888"/>
      <c r="E86" s="546"/>
      <c r="F86" s="1265"/>
      <c r="G86" s="3874">
        <v>0</v>
      </c>
      <c r="H86" s="3865" t="s">
        <v>1742</v>
      </c>
      <c r="I86" s="3882"/>
      <c r="J86" s="3871" t="s">
        <v>2922</v>
      </c>
      <c r="K86" s="3872"/>
      <c r="L86" s="3872"/>
      <c r="M86" s="3872"/>
      <c r="N86" s="3873"/>
      <c r="O86" s="1181">
        <v>1</v>
      </c>
    </row>
    <row r="87" spans="2:15" ht="45" customHeight="1">
      <c r="D87" s="888"/>
      <c r="E87" s="546"/>
      <c r="F87" s="1265"/>
      <c r="G87" s="3875"/>
      <c r="H87" s="3867"/>
      <c r="I87" s="3883"/>
      <c r="J87" s="3759" t="s">
        <v>2923</v>
      </c>
      <c r="K87" s="3863"/>
      <c r="L87" s="3863"/>
      <c r="M87" s="3863"/>
      <c r="N87" s="3864"/>
      <c r="O87" s="1303"/>
    </row>
    <row r="88" spans="2:15" s="2510" customFormat="1" ht="48" customHeight="1">
      <c r="B88" s="2553"/>
      <c r="C88" s="2553"/>
      <c r="D88" s="1021"/>
      <c r="E88" s="2562"/>
      <c r="G88" s="1298">
        <v>0</v>
      </c>
      <c r="H88" s="3869"/>
      <c r="I88" s="3884"/>
      <c r="J88" s="3912" t="s">
        <v>2903</v>
      </c>
      <c r="K88" s="3940"/>
      <c r="L88" s="3940"/>
      <c r="M88" s="3940"/>
      <c r="N88" s="3941"/>
      <c r="O88" s="2604">
        <v>1</v>
      </c>
    </row>
    <row r="89" spans="2:15" ht="16.5" customHeight="1">
      <c r="D89" s="888"/>
      <c r="E89" s="546"/>
      <c r="F89" s="1265"/>
      <c r="G89" s="3874">
        <v>0</v>
      </c>
      <c r="H89" s="3867" t="s">
        <v>2213</v>
      </c>
      <c r="I89" s="3868"/>
      <c r="J89" s="3793" t="s">
        <v>2117</v>
      </c>
      <c r="K89" s="3897"/>
      <c r="L89" s="3897"/>
      <c r="M89" s="3897"/>
      <c r="N89" s="3898"/>
      <c r="O89" s="3938">
        <v>1</v>
      </c>
    </row>
    <row r="90" spans="2:15" ht="41.25" customHeight="1" thickBot="1">
      <c r="D90" s="888"/>
      <c r="E90" s="546"/>
      <c r="F90" s="1265"/>
      <c r="G90" s="3877"/>
      <c r="H90" s="3878"/>
      <c r="I90" s="3879"/>
      <c r="J90" s="3918"/>
      <c r="K90" s="3919"/>
      <c r="L90" s="3919"/>
      <c r="M90" s="3919"/>
      <c r="N90" s="3920"/>
      <c r="O90" s="3939"/>
    </row>
    <row r="91" spans="2:15" ht="29.25" customHeight="1">
      <c r="D91" s="888"/>
      <c r="E91" s="546"/>
      <c r="F91" s="1265"/>
      <c r="G91" s="1170" t="s">
        <v>1077</v>
      </c>
      <c r="H91" s="3033">
        <f>SUM(G70:G90)</f>
        <v>3</v>
      </c>
      <c r="I91" s="3032" t="s">
        <v>3856</v>
      </c>
      <c r="J91" s="1172"/>
      <c r="K91" s="1173"/>
      <c r="L91" s="1172"/>
      <c r="M91" s="1173"/>
      <c r="N91" s="1172"/>
      <c r="O91" s="1182"/>
    </row>
    <row r="92" spans="2:15" ht="21.75" customHeight="1">
      <c r="D92" s="888"/>
      <c r="E92" s="546"/>
      <c r="F92" s="889"/>
      <c r="G92" s="889"/>
      <c r="H92" s="889"/>
      <c r="I92" s="889"/>
      <c r="J92" s="1268"/>
      <c r="K92" s="889"/>
      <c r="L92" s="889"/>
      <c r="M92" s="889"/>
      <c r="N92" s="889"/>
      <c r="O92" s="889"/>
    </row>
    <row r="93" spans="2:15" ht="21.75" customHeight="1">
      <c r="D93" s="1388">
        <v>3.2</v>
      </c>
      <c r="E93" s="1123" t="s">
        <v>2118</v>
      </c>
      <c r="F93" s="896"/>
      <c r="G93" s="889"/>
      <c r="H93" s="889"/>
      <c r="I93" s="889"/>
      <c r="J93" s="1268"/>
      <c r="K93" s="889"/>
      <c r="L93" s="889"/>
      <c r="M93" s="889"/>
      <c r="N93" s="889"/>
      <c r="O93" s="889"/>
    </row>
    <row r="94" spans="2:15" ht="14.25" thickBot="1">
      <c r="D94" s="893"/>
      <c r="E94" s="546"/>
      <c r="F94" s="903"/>
      <c r="G94" s="904"/>
      <c r="H94" s="905"/>
      <c r="I94" s="905" t="s">
        <v>3852</v>
      </c>
      <c r="J94" s="905">
        <f>重み!M119</f>
        <v>0.5</v>
      </c>
      <c r="K94" s="905"/>
      <c r="L94" s="905"/>
      <c r="M94" s="3885"/>
      <c r="N94" s="3885"/>
      <c r="O94" s="1275"/>
    </row>
    <row r="95" spans="2:15" ht="25.5" customHeight="1" thickBot="1">
      <c r="D95" s="888"/>
      <c r="E95" s="898"/>
      <c r="F95" s="1295">
        <f>IF(H101=T4,F101,ROUND(IF(H119=0,1,IF(H119&lt;=5,2,IF(H119&lt;=11,3,IF(H119&lt;=17,4,IF(H119&gt;=18,5))))),0))</f>
        <v>3</v>
      </c>
      <c r="G95" s="3886" t="s">
        <v>390</v>
      </c>
      <c r="H95" s="3887"/>
      <c r="I95" s="3887"/>
      <c r="J95" s="3887"/>
      <c r="K95" s="3887"/>
      <c r="L95" s="3887"/>
      <c r="M95" s="3887"/>
      <c r="N95" s="3887"/>
      <c r="O95" s="3677"/>
    </row>
    <row r="96" spans="2:15" ht="25.5" customHeight="1">
      <c r="B96" s="1">
        <v>1</v>
      </c>
      <c r="D96" s="888"/>
      <c r="E96" s="898"/>
      <c r="F96" s="917" t="str">
        <f>IF(ROUNDDOWN($F$95,0)=$S$10,$U$10,$T$10)</f>
        <v>　レベル　1</v>
      </c>
      <c r="G96" s="3816" t="s">
        <v>1743</v>
      </c>
      <c r="H96" s="3775"/>
      <c r="I96" s="3775"/>
      <c r="J96" s="3775"/>
      <c r="K96" s="3775"/>
      <c r="L96" s="3775"/>
      <c r="M96" s="3775"/>
      <c r="N96" s="3775"/>
      <c r="O96" s="3776"/>
    </row>
    <row r="97" spans="2:15" ht="25.5" customHeight="1">
      <c r="B97" s="1">
        <v>2</v>
      </c>
      <c r="D97" s="888"/>
      <c r="E97" s="898"/>
      <c r="F97" s="922" t="str">
        <f>IF(ROUNDDOWN($F$95,0)=$S$11,$U$11,$T$11)</f>
        <v>　レベル　2</v>
      </c>
      <c r="G97" s="3754" t="s">
        <v>1744</v>
      </c>
      <c r="H97" s="3839"/>
      <c r="I97" s="3839"/>
      <c r="J97" s="3839"/>
      <c r="K97" s="3839"/>
      <c r="L97" s="3839"/>
      <c r="M97" s="3839"/>
      <c r="N97" s="3839"/>
      <c r="O97" s="3840"/>
    </row>
    <row r="98" spans="2:15" ht="25.5" customHeight="1">
      <c r="B98" s="1">
        <v>3</v>
      </c>
      <c r="D98" s="888"/>
      <c r="E98" s="898"/>
      <c r="F98" s="922" t="str">
        <f>IF(ROUNDDOWN($F$95,0)=$S$12,$U$12,$T$12)</f>
        <v>■レベル　3</v>
      </c>
      <c r="G98" s="3754" t="s">
        <v>1745</v>
      </c>
      <c r="H98" s="3839"/>
      <c r="I98" s="3839"/>
      <c r="J98" s="3839"/>
      <c r="K98" s="3839"/>
      <c r="L98" s="3839"/>
      <c r="M98" s="3839"/>
      <c r="N98" s="3839"/>
      <c r="O98" s="3840"/>
    </row>
    <row r="99" spans="2:15" ht="25.5" customHeight="1">
      <c r="B99" s="1">
        <v>4</v>
      </c>
      <c r="D99" s="888"/>
      <c r="E99" s="898"/>
      <c r="F99" s="922" t="str">
        <f>IF(ROUNDDOWN($F$95,0)=$S$13,$U$13,$T$13)</f>
        <v>　レベル　4</v>
      </c>
      <c r="G99" s="3754" t="s">
        <v>1746</v>
      </c>
      <c r="H99" s="3839"/>
      <c r="I99" s="3839"/>
      <c r="J99" s="3839"/>
      <c r="K99" s="3839"/>
      <c r="L99" s="3839"/>
      <c r="M99" s="3839"/>
      <c r="N99" s="3839"/>
      <c r="O99" s="3840"/>
    </row>
    <row r="100" spans="2:15" ht="25.5" customHeight="1">
      <c r="B100" s="1">
        <v>5</v>
      </c>
      <c r="D100" s="888"/>
      <c r="E100" s="898"/>
      <c r="F100" s="933" t="str">
        <f>IF(ROUNDDOWN($F$95,0)=$S$14,$U$14,$T$14)</f>
        <v>　レベル　5</v>
      </c>
      <c r="G100" s="3757" t="s">
        <v>1094</v>
      </c>
      <c r="H100" s="3895"/>
      <c r="I100" s="3895"/>
      <c r="J100" s="3895"/>
      <c r="K100" s="3895"/>
      <c r="L100" s="3895"/>
      <c r="M100" s="3895"/>
      <c r="N100" s="3895"/>
      <c r="O100" s="3896"/>
    </row>
    <row r="101" spans="2:15" s="2445" customFormat="1" ht="16.5" hidden="1" customHeight="1" thickBot="1">
      <c r="B101" s="940">
        <v>0</v>
      </c>
      <c r="D101" s="888"/>
      <c r="E101" s="898"/>
      <c r="F101" s="910">
        <v>0</v>
      </c>
      <c r="G101" s="1138" t="s">
        <v>2193</v>
      </c>
      <c r="H101" s="995" t="s">
        <v>3822</v>
      </c>
    </row>
    <row r="102" spans="2:15">
      <c r="D102" s="893"/>
      <c r="E102" s="546"/>
      <c r="F102" s="546"/>
      <c r="G102" s="1278" t="s">
        <v>320</v>
      </c>
      <c r="H102" s="546"/>
      <c r="I102" s="546"/>
      <c r="J102" s="546"/>
      <c r="K102" s="546"/>
      <c r="L102" s="546"/>
      <c r="M102" s="546"/>
      <c r="N102" s="546"/>
      <c r="O102" s="546"/>
    </row>
    <row r="103" spans="2:15" ht="25.5" customHeight="1" thickBot="1">
      <c r="D103" s="888"/>
      <c r="E103" s="546"/>
      <c r="F103" s="1265"/>
      <c r="G103" s="1280" t="s">
        <v>187</v>
      </c>
      <c r="H103" s="3888" t="s">
        <v>1434</v>
      </c>
      <c r="I103" s="3889"/>
      <c r="J103" s="3888" t="s">
        <v>1430</v>
      </c>
      <c r="K103" s="3889"/>
      <c r="L103" s="3889"/>
      <c r="M103" s="3889"/>
      <c r="N103" s="3890"/>
      <c r="O103" s="1175" t="s">
        <v>1435</v>
      </c>
    </row>
    <row r="104" spans="2:15" ht="36" customHeight="1">
      <c r="G104" s="1296">
        <v>2</v>
      </c>
      <c r="H104" s="3865" t="s">
        <v>2924</v>
      </c>
      <c r="I104" s="3866"/>
      <c r="J104" s="3816" t="s">
        <v>3857</v>
      </c>
      <c r="K104" s="3775"/>
      <c r="L104" s="3775"/>
      <c r="M104" s="3775"/>
      <c r="N104" s="3776"/>
      <c r="O104" s="1297">
        <v>2</v>
      </c>
    </row>
    <row r="105" spans="2:15" ht="30.75" customHeight="1">
      <c r="G105" s="3874">
        <v>3</v>
      </c>
      <c r="H105" s="3867"/>
      <c r="I105" s="3868"/>
      <c r="J105" s="3871" t="s">
        <v>3858</v>
      </c>
      <c r="K105" s="3872"/>
      <c r="L105" s="3872"/>
      <c r="M105" s="3872"/>
      <c r="N105" s="3873"/>
      <c r="O105" s="3891" t="s">
        <v>189</v>
      </c>
    </row>
    <row r="106" spans="2:15" ht="57.75" customHeight="1">
      <c r="G106" s="3875"/>
      <c r="H106" s="3867"/>
      <c r="I106" s="3868"/>
      <c r="J106" s="3759" t="s">
        <v>2925</v>
      </c>
      <c r="K106" s="3863"/>
      <c r="L106" s="3863"/>
      <c r="M106" s="3863"/>
      <c r="N106" s="3864"/>
      <c r="O106" s="3891"/>
    </row>
    <row r="107" spans="2:15" ht="29.25" customHeight="1">
      <c r="G107" s="3874">
        <v>1</v>
      </c>
      <c r="H107" s="3865" t="s">
        <v>2926</v>
      </c>
      <c r="I107" s="3866"/>
      <c r="J107" s="3871" t="s">
        <v>3859</v>
      </c>
      <c r="K107" s="3872"/>
      <c r="L107" s="3872"/>
      <c r="M107" s="3872"/>
      <c r="N107" s="3873"/>
      <c r="O107" s="3891" t="s">
        <v>189</v>
      </c>
    </row>
    <row r="108" spans="2:15" ht="69.75" customHeight="1">
      <c r="G108" s="3875"/>
      <c r="H108" s="3869"/>
      <c r="I108" s="3870"/>
      <c r="J108" s="3759" t="s">
        <v>2927</v>
      </c>
      <c r="K108" s="3863"/>
      <c r="L108" s="3863"/>
      <c r="M108" s="3863"/>
      <c r="N108" s="3864"/>
      <c r="O108" s="3891"/>
    </row>
    <row r="109" spans="2:15" ht="30.75" customHeight="1">
      <c r="G109" s="3874">
        <v>0</v>
      </c>
      <c r="H109" s="3865" t="s">
        <v>2928</v>
      </c>
      <c r="I109" s="3866"/>
      <c r="J109" s="3871" t="s">
        <v>3860</v>
      </c>
      <c r="K109" s="3872"/>
      <c r="L109" s="3872"/>
      <c r="M109" s="3872"/>
      <c r="N109" s="3873"/>
      <c r="O109" s="3891" t="s">
        <v>189</v>
      </c>
    </row>
    <row r="110" spans="2:15" ht="57.75" customHeight="1">
      <c r="G110" s="3875"/>
      <c r="H110" s="3867"/>
      <c r="I110" s="3868"/>
      <c r="J110" s="3759" t="s">
        <v>2929</v>
      </c>
      <c r="K110" s="3863"/>
      <c r="L110" s="3863"/>
      <c r="M110" s="3863"/>
      <c r="N110" s="3864"/>
      <c r="O110" s="3891"/>
    </row>
    <row r="111" spans="2:15" ht="19.5" customHeight="1">
      <c r="G111" s="3874">
        <v>0</v>
      </c>
      <c r="H111" s="3867"/>
      <c r="I111" s="3868"/>
      <c r="J111" s="3871" t="s">
        <v>3861</v>
      </c>
      <c r="K111" s="3872"/>
      <c r="L111" s="3872"/>
      <c r="M111" s="3872"/>
      <c r="N111" s="3873"/>
      <c r="O111" s="3891" t="s">
        <v>189</v>
      </c>
    </row>
    <row r="112" spans="2:15" ht="57.75" customHeight="1">
      <c r="G112" s="3875"/>
      <c r="H112" s="3869"/>
      <c r="I112" s="3870"/>
      <c r="J112" s="3759" t="s">
        <v>2930</v>
      </c>
      <c r="K112" s="3863"/>
      <c r="L112" s="3863"/>
      <c r="M112" s="3863"/>
      <c r="N112" s="3864"/>
      <c r="O112" s="3891"/>
    </row>
    <row r="113" spans="4:15" ht="19.5" customHeight="1">
      <c r="G113" s="3874">
        <v>0</v>
      </c>
      <c r="H113" s="3865" t="s">
        <v>2931</v>
      </c>
      <c r="I113" s="3866"/>
      <c r="J113" s="3871" t="s">
        <v>3862</v>
      </c>
      <c r="K113" s="3872"/>
      <c r="L113" s="3872"/>
      <c r="M113" s="3872"/>
      <c r="N113" s="3873"/>
      <c r="O113" s="3891" t="s">
        <v>1095</v>
      </c>
    </row>
    <row r="114" spans="4:15" ht="33.75" customHeight="1">
      <c r="G114" s="3875"/>
      <c r="H114" s="3867"/>
      <c r="I114" s="3868"/>
      <c r="J114" s="3759" t="s">
        <v>2932</v>
      </c>
      <c r="K114" s="3863"/>
      <c r="L114" s="3863"/>
      <c r="M114" s="3863"/>
      <c r="N114" s="3864"/>
      <c r="O114" s="3891"/>
    </row>
    <row r="115" spans="4:15" ht="19.5" customHeight="1">
      <c r="G115" s="3874">
        <v>0</v>
      </c>
      <c r="H115" s="3867"/>
      <c r="I115" s="3868"/>
      <c r="J115" s="3871" t="s">
        <v>3863</v>
      </c>
      <c r="K115" s="3872"/>
      <c r="L115" s="3872"/>
      <c r="M115" s="3872"/>
      <c r="N115" s="3873"/>
      <c r="O115" s="3891" t="s">
        <v>189</v>
      </c>
    </row>
    <row r="116" spans="4:15" ht="60.75" customHeight="1">
      <c r="G116" s="3875"/>
      <c r="H116" s="3869"/>
      <c r="I116" s="3870"/>
      <c r="J116" s="3759" t="s">
        <v>2933</v>
      </c>
      <c r="K116" s="3863"/>
      <c r="L116" s="3863"/>
      <c r="M116" s="3863"/>
      <c r="N116" s="3864"/>
      <c r="O116" s="3891"/>
    </row>
    <row r="117" spans="4:15" ht="90.75" customHeight="1">
      <c r="G117" s="1299">
        <v>0</v>
      </c>
      <c r="H117" s="3865" t="s">
        <v>2934</v>
      </c>
      <c r="I117" s="3866"/>
      <c r="J117" s="3754" t="s">
        <v>3864</v>
      </c>
      <c r="K117" s="3839"/>
      <c r="L117" s="3839"/>
      <c r="M117" s="3839"/>
      <c r="N117" s="3840"/>
      <c r="O117" s="1304" t="s">
        <v>2055</v>
      </c>
    </row>
    <row r="118" spans="4:15" ht="96" customHeight="1" thickBot="1">
      <c r="G118" s="1305">
        <v>0</v>
      </c>
      <c r="H118" s="3869"/>
      <c r="I118" s="3870"/>
      <c r="J118" s="3759" t="s">
        <v>3865</v>
      </c>
      <c r="K118" s="3863"/>
      <c r="L118" s="3863"/>
      <c r="M118" s="3863"/>
      <c r="N118" s="3864"/>
      <c r="O118" s="1306" t="s">
        <v>2055</v>
      </c>
    </row>
    <row r="119" spans="4:15" ht="30" customHeight="1">
      <c r="D119" s="888"/>
      <c r="E119" s="1265"/>
      <c r="F119" s="1266"/>
      <c r="G119" s="1170" t="s">
        <v>1079</v>
      </c>
      <c r="H119" s="3033">
        <f>SUM(G104:G118)</f>
        <v>6</v>
      </c>
      <c r="I119" s="3032" t="s">
        <v>3866</v>
      </c>
      <c r="J119" s="1172"/>
      <c r="K119" s="1173"/>
      <c r="L119" s="1172"/>
      <c r="M119" s="1173"/>
      <c r="N119" s="1172"/>
      <c r="O119" s="1182"/>
    </row>
    <row r="120" spans="4:15"/>
    <row r="121" spans="4:15" ht="13.5" hidden="1" customHeight="1"/>
    <row r="122" spans="4:15" ht="13.5" hidden="1" customHeight="1"/>
    <row r="123" spans="4:15" ht="13.5" hidden="1" customHeight="1"/>
    <row r="124" spans="4:15" ht="13.5" hidden="1" customHeight="1"/>
  </sheetData>
  <sheetProtection algorithmName="SHA-512" hashValue="CrSqEMy6FsC7VG5kQj+fgZ6C3szj+lq8I4j+4iRn6TvrRGXNPBivx3Ml9dW1bSDpOGV+h+sfpI3Do0BzeMEYKw==" saltValue="VFsnTwoQW1ii9BJwceUbew==" spinCount="100000" sheet="1" objects="1" scenarios="1" selectLockedCells="1"/>
  <mergeCells count="148">
    <mergeCell ref="J76:N76"/>
    <mergeCell ref="M6:N6"/>
    <mergeCell ref="G7:O7"/>
    <mergeCell ref="H14:I14"/>
    <mergeCell ref="J14:N14"/>
    <mergeCell ref="H15:I15"/>
    <mergeCell ref="H16:I16"/>
    <mergeCell ref="O17:O19"/>
    <mergeCell ref="J15:N15"/>
    <mergeCell ref="J16:N16"/>
    <mergeCell ref="H17:I21"/>
    <mergeCell ref="G17:G19"/>
    <mergeCell ref="G20:G21"/>
    <mergeCell ref="J20:N20"/>
    <mergeCell ref="J21:N21"/>
    <mergeCell ref="J17:N17"/>
    <mergeCell ref="J18:N18"/>
    <mergeCell ref="J19:N19"/>
    <mergeCell ref="O20:O21"/>
    <mergeCell ref="N52:O52"/>
    <mergeCell ref="J53:K53"/>
    <mergeCell ref="L53:M53"/>
    <mergeCell ref="N53:O53"/>
    <mergeCell ref="J54:K54"/>
    <mergeCell ref="L54:M54"/>
    <mergeCell ref="N54:O54"/>
    <mergeCell ref="J49:K49"/>
    <mergeCell ref="L49:M49"/>
    <mergeCell ref="N49:O49"/>
    <mergeCell ref="J50:K50"/>
    <mergeCell ref="L50:M50"/>
    <mergeCell ref="N50:O50"/>
    <mergeCell ref="J51:K51"/>
    <mergeCell ref="L51:M51"/>
    <mergeCell ref="O111:O112"/>
    <mergeCell ref="H117:I118"/>
    <mergeCell ref="O89:O90"/>
    <mergeCell ref="J90:N90"/>
    <mergeCell ref="L52:M52"/>
    <mergeCell ref="J88:N88"/>
    <mergeCell ref="G72:G74"/>
    <mergeCell ref="O81:O84"/>
    <mergeCell ref="J82:N82"/>
    <mergeCell ref="J83:N83"/>
    <mergeCell ref="J84:N84"/>
    <mergeCell ref="J73:N73"/>
    <mergeCell ref="J74:N74"/>
    <mergeCell ref="J75:N75"/>
    <mergeCell ref="H77:I77"/>
    <mergeCell ref="J77:N77"/>
    <mergeCell ref="J118:N118"/>
    <mergeCell ref="M61:N61"/>
    <mergeCell ref="G62:O62"/>
    <mergeCell ref="J55:K55"/>
    <mergeCell ref="L55:M55"/>
    <mergeCell ref="N55:O55"/>
    <mergeCell ref="H72:I76"/>
    <mergeCell ref="O72:O74"/>
    <mergeCell ref="J24:N24"/>
    <mergeCell ref="J22:N22"/>
    <mergeCell ref="H26:I27"/>
    <mergeCell ref="J25:N25"/>
    <mergeCell ref="G28:G29"/>
    <mergeCell ref="J28:N28"/>
    <mergeCell ref="N51:O51"/>
    <mergeCell ref="J52:K52"/>
    <mergeCell ref="H28:I29"/>
    <mergeCell ref="O28:O29"/>
    <mergeCell ref="J29:N29"/>
    <mergeCell ref="G39:O39"/>
    <mergeCell ref="G40:O40"/>
    <mergeCell ref="G41:O41"/>
    <mergeCell ref="G42:O42"/>
    <mergeCell ref="G43:O43"/>
    <mergeCell ref="I45:O45"/>
    <mergeCell ref="I46:O46"/>
    <mergeCell ref="H47:I47"/>
    <mergeCell ref="H49:I49"/>
    <mergeCell ref="J27:N27"/>
    <mergeCell ref="H32:O32"/>
    <mergeCell ref="M36:N36"/>
    <mergeCell ref="G37:O37"/>
    <mergeCell ref="O78:O80"/>
    <mergeCell ref="N1:O1"/>
    <mergeCell ref="O113:O114"/>
    <mergeCell ref="O115:O116"/>
    <mergeCell ref="J78:N78"/>
    <mergeCell ref="G97:O97"/>
    <mergeCell ref="G98:O98"/>
    <mergeCell ref="G99:O99"/>
    <mergeCell ref="G100:O100"/>
    <mergeCell ref="O105:O106"/>
    <mergeCell ref="H104:I106"/>
    <mergeCell ref="J79:N79"/>
    <mergeCell ref="H69:I69"/>
    <mergeCell ref="J69:N69"/>
    <mergeCell ref="H70:I71"/>
    <mergeCell ref="J70:N70"/>
    <mergeCell ref="J71:N71"/>
    <mergeCell ref="J72:N72"/>
    <mergeCell ref="J86:N86"/>
    <mergeCell ref="J87:N87"/>
    <mergeCell ref="J89:N89"/>
    <mergeCell ref="H22:I25"/>
    <mergeCell ref="J26:N26"/>
    <mergeCell ref="G75:G76"/>
    <mergeCell ref="J117:N117"/>
    <mergeCell ref="M94:N94"/>
    <mergeCell ref="G95:O95"/>
    <mergeCell ref="G96:O96"/>
    <mergeCell ref="H107:I108"/>
    <mergeCell ref="H103:I103"/>
    <mergeCell ref="J103:N103"/>
    <mergeCell ref="J104:N104"/>
    <mergeCell ref="J108:N108"/>
    <mergeCell ref="J113:N113"/>
    <mergeCell ref="J114:N114"/>
    <mergeCell ref="J115:N115"/>
    <mergeCell ref="J116:N116"/>
    <mergeCell ref="J112:N112"/>
    <mergeCell ref="J106:N106"/>
    <mergeCell ref="J109:N109"/>
    <mergeCell ref="J105:N105"/>
    <mergeCell ref="J107:N107"/>
    <mergeCell ref="O109:O110"/>
    <mergeCell ref="O107:O108"/>
    <mergeCell ref="H109:I112"/>
    <mergeCell ref="J110:N110"/>
    <mergeCell ref="J111:N111"/>
    <mergeCell ref="G115:G116"/>
    <mergeCell ref="J85:N85"/>
    <mergeCell ref="J80:N80"/>
    <mergeCell ref="H81:I84"/>
    <mergeCell ref="J81:N81"/>
    <mergeCell ref="G113:G114"/>
    <mergeCell ref="G105:G106"/>
    <mergeCell ref="G107:G108"/>
    <mergeCell ref="G109:G110"/>
    <mergeCell ref="G111:G112"/>
    <mergeCell ref="H113:I116"/>
    <mergeCell ref="G78:G80"/>
    <mergeCell ref="H78:I80"/>
    <mergeCell ref="G86:G87"/>
    <mergeCell ref="G89:G90"/>
    <mergeCell ref="H89:I90"/>
    <mergeCell ref="H85:I85"/>
    <mergeCell ref="H86:I88"/>
    <mergeCell ref="G81:G84"/>
  </mergeCells>
  <phoneticPr fontId="21"/>
  <conditionalFormatting sqref="G20 G15:G17 G22:G28">
    <cfRule type="expression" dxfId="117" priority="12" stopIfTrue="1">
      <formula>$J$6&gt;0.001</formula>
    </cfRule>
  </conditionalFormatting>
  <conditionalFormatting sqref="J90:N90">
    <cfRule type="expression" dxfId="116" priority="13" stopIfTrue="1">
      <formula>$G$89=1</formula>
    </cfRule>
  </conditionalFormatting>
  <conditionalFormatting sqref="G89:G90 G70:G75 G78:G86">
    <cfRule type="expression" dxfId="115" priority="15" stopIfTrue="1">
      <formula>$J$61&gt;0.001</formula>
    </cfRule>
  </conditionalFormatting>
  <conditionalFormatting sqref="G104:G118">
    <cfRule type="expression" dxfId="114" priority="18" stopIfTrue="1">
      <formula>$J$94&gt;0.001</formula>
    </cfRule>
  </conditionalFormatting>
  <conditionalFormatting sqref="F38">
    <cfRule type="expression" dxfId="113" priority="8" stopIfTrue="1">
      <formula>J36&gt;0</formula>
    </cfRule>
  </conditionalFormatting>
  <conditionalFormatting sqref="G77">
    <cfRule type="expression" dxfId="112" priority="7" stopIfTrue="1">
      <formula>$O$61&gt;0.001</formula>
    </cfRule>
  </conditionalFormatting>
  <conditionalFormatting sqref="J29:N29">
    <cfRule type="expression" dxfId="111" priority="5">
      <formula>$G28&gt;0</formula>
    </cfRule>
  </conditionalFormatting>
  <conditionalFormatting sqref="F101">
    <cfRule type="expression" dxfId="110" priority="3" stopIfTrue="1">
      <formula>AND(OR(F101&lt;1,F101&gt;5),F101&lt;&gt;0)</formula>
    </cfRule>
    <cfRule type="expression" dxfId="109" priority="4" stopIfTrue="1">
      <formula>AND($J94&gt;0,$H101=$T$4)</formula>
    </cfRule>
  </conditionalFormatting>
  <conditionalFormatting sqref="H101">
    <cfRule type="expression" dxfId="108" priority="2">
      <formula>$J94&gt;0</formula>
    </cfRule>
  </conditionalFormatting>
  <conditionalFormatting sqref="G88">
    <cfRule type="expression" dxfId="107" priority="1" stopIfTrue="1">
      <formula>$J$61&gt;0.001</formula>
    </cfRule>
  </conditionalFormatting>
  <dataValidations xWindow="204" yWindow="530" count="9">
    <dataValidation type="list" allowBlank="1" showInputMessage="1" showErrorMessage="1" sqref="G20 G117:G118" xr:uid="{00000000-0002-0000-0800-000000000000}">
      <formula1>"0,1,2"</formula1>
    </dataValidation>
    <dataValidation type="list" allowBlank="1" showInputMessage="1" showErrorMessage="1" sqref="G17:G19 G105:G112 G115:G116" xr:uid="{00000000-0002-0000-0800-000001000000}">
      <formula1>"0,1,2,3"</formula1>
    </dataValidation>
    <dataValidation type="list" allowBlank="1" showInputMessage="1" showErrorMessage="1" sqref="G88:G89 WVO88 G78 G75 G70:G72 G85:G86 G81 JC88 SY88 ACU88 AMQ88 AWM88 BGI88 BQE88 CAA88 CJW88 CTS88 DDO88 DNK88 DXG88 EHC88 EQY88 FAU88 FKQ88 FUM88 GEI88 GOE88 GYA88 HHW88 HRS88 IBO88 ILK88 IVG88 JFC88 JOY88 JYU88 KIQ88 KSM88 LCI88 LME88 LWA88 MFW88 MPS88 MZO88 NJK88 NTG88 ODC88 OMY88 OWU88 PGQ88 PQM88 QAI88 QKE88 QUA88 RDW88 RNS88 RXO88 SHK88 SRG88 TBC88 TKY88 TUU88 UEQ88 UOM88 UYI88 VIE88 VSA88 WBW88 WLS88 G26:G28" xr:uid="{00000000-0002-0000-0800-000002000000}">
      <formula1>"0,1"</formula1>
    </dataValidation>
    <dataValidation type="list" allowBlank="1" showInputMessage="1" showErrorMessage="1" sqref="G15:G16 G104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22:G25" xr:uid="{00000000-0002-0000-0800-000003000000}">
      <formula1>"0,2"</formula1>
    </dataValidation>
    <dataValidation type="list" allowBlank="1" showInputMessage="1" showErrorMessage="1" sqref="G113:G114" xr:uid="{00000000-0002-0000-0800-000004000000}">
      <formula1>"0,2,3"</formula1>
    </dataValidation>
    <dataValidation type="list" allowBlank="1" showInputMessage="1" sqref="F38 JB38 SX38 ACT38 AMP38 AWL38 BGH38 BQD38 BZZ38 CJV38 CTR38 DDN38 DNJ38 DXF38 EHB38 EQX38 FAT38 FKP38 FUL38 GEH38 GOD38 GXZ38 HHV38 HRR38 IBN38 ILJ38 IVF38 JFB38 JOX38 JYT38 KIP38 KSL38 LCH38 LMD38 LVZ38 MFV38 MPR38 MZN38 NJJ38 NTF38 ODB38 OMX38 OWT38 PGP38 PQL38 QAH38 QKD38 QTZ38 RDV38 RNR38 RXN38 SHJ38 SRF38 TBB38 TKX38 TUT38 UEP38 UOL38 UYH38 VID38 VRZ38 WBV38 WLR38 WVN38" xr:uid="{00000000-0002-0000-0800-000005000000}">
      <formula1>$B$39:$B$44</formula1>
    </dataValidation>
    <dataValidation allowBlank="1" showInputMessage="1" sqref="F37 JB37 SX37 ACT37 AMP37 AWL37 BGH37 BQD37 BZZ37 CJV37 CTR37 DDN37 DNJ37 DXF37 EHB37 EQX37 FAT37 FKP37 FUL37 GEH37 GOD37 GXZ37 HHV37 HRR37 IBN37 ILJ37 IVF37 JFB37 JOX37 JYT37 KIP37 KSL37 LCH37 LMD37 LVZ37 MFV37 MPR37 MZN37 NJJ37 NTF37 ODB37 OMX37 OWT37 PGP37 PQL37 QAH37 QKD37 QTZ37 RDV37 RNR37 RXN37 SHJ37 SRF37 TBB37 TKX37 TUT37 UEP37 UOL37 UYH37 VID37 VRZ37 WBV37 WLR37 WVN37" xr:uid="{00000000-0002-0000-0800-000006000000}"/>
    <dataValidation type="list" allowBlank="1" showInputMessage="1" sqref="F101" xr:uid="{00000000-0002-0000-0800-000007000000}">
      <formula1>$B$96:$B$101</formula1>
    </dataValidation>
    <dataValidation type="list" allowBlank="1" showInputMessage="1" showErrorMessage="1" sqref="H101" xr:uid="{00000000-0002-0000-0800-000008000000}">
      <formula1>$T$3:$T$4</formula1>
    </dataValidation>
  </dataValidations>
  <printOptions horizontalCentered="1"/>
  <pageMargins left="0.59055118110236227" right="0.59055118110236227" top="0.78740157480314965" bottom="0.59055118110236227" header="0.51181102362204722" footer="0.51181102362204722"/>
  <pageSetup paperSize="9" scale="68" fitToHeight="4" orientation="portrait" verticalDpi="4294967293" r:id="rId1"/>
  <headerFooter alignWithMargins="0">
    <oddHeader>&amp;L&amp;F&amp;R&amp;A</oddHeader>
    <oddFooter>&amp;C&amp;P/&amp;N</oddFooter>
  </headerFooter>
  <rowBreaks count="3" manualBreakCount="3">
    <brk id="34" max="16383" man="1"/>
    <brk id="58" max="16383" man="1"/>
    <brk id="9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19</vt:i4>
      </vt:variant>
    </vt:vector>
  </HeadingPairs>
  <TitlesOfParts>
    <vt:vector size="39" baseType="lpstr">
      <vt:lpstr>メイン</vt:lpstr>
      <vt:lpstr>結果</vt:lpstr>
      <vt:lpstr>独自ｼｽﾃﾑ</vt:lpstr>
      <vt:lpstr>スコア</vt:lpstr>
      <vt:lpstr>配慮</vt:lpstr>
      <vt:lpstr>係数</vt:lpstr>
      <vt:lpstr>採点Q1</vt:lpstr>
      <vt:lpstr>採点Q2</vt:lpstr>
      <vt:lpstr>採点Q3</vt:lpstr>
      <vt:lpstr>採点LR1</vt:lpstr>
      <vt:lpstr>計画書</vt:lpstr>
      <vt:lpstr>採点LR2</vt:lpstr>
      <vt:lpstr>採点LR3</vt:lpstr>
      <vt:lpstr>CO2計算</vt:lpstr>
      <vt:lpstr>高評価資料</vt:lpstr>
      <vt:lpstr>重み</vt:lpstr>
      <vt:lpstr>条件(標準)</vt:lpstr>
      <vt:lpstr>条件(個別)</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結果!Print_Area</vt:lpstr>
      <vt:lpstr>高評価資料!Print_Area</vt:lpstr>
      <vt:lpstr>採点LR1!Print_Area</vt:lpstr>
      <vt:lpstr>採点LR2!Print_Area</vt:lpstr>
      <vt:lpstr>採点LR3!Print_Area</vt:lpstr>
      <vt:lpstr>採点Q1!Print_Area</vt:lpstr>
      <vt:lpstr>採点Q2!Print_Area</vt:lpstr>
      <vt:lpstr>重み!Print_Area</vt:lpstr>
      <vt:lpstr>'条件(個別)'!Print_Area</vt:lpstr>
      <vt:lpstr>独自ｼｽﾃﾑ!Print_Area</vt:lpstr>
      <vt:lpstr>高評価資料!Print_Titles</vt:lpstr>
      <vt:lpstr>重み!Print_Titles</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Aoki　Iwao</cp:lastModifiedBy>
  <cp:lastPrinted>2018-03-13T09:41:19Z</cp:lastPrinted>
  <dcterms:created xsi:type="dcterms:W3CDTF">2010-08-30T05:31:56Z</dcterms:created>
  <dcterms:modified xsi:type="dcterms:W3CDTF">2021-10-28T01:29:01Z</dcterms:modified>
</cp:coreProperties>
</file>